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93a03383d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 de clase" sheetId="1" r:id="Rbe6c50d86707458d"/>
    <x:sheet xmlns:r="http://schemas.openxmlformats.org/officeDocument/2006/relationships" name="Supuestos" sheetId="2" r:id="R5c1d0167f36340aa"/>
    <x:sheet xmlns:r="http://schemas.openxmlformats.org/officeDocument/2006/relationships" name="Pipeline 12M" sheetId="3" r:id="R8d7cb1742c4b4ce3"/>
    <x:sheet xmlns:r="http://schemas.openxmlformats.org/officeDocument/2006/relationships" name="Caja y runway" sheetId="4" r:id="R4f4dd6a52dcd4dc0"/>
    <x:sheet xmlns:r="http://schemas.openxmlformats.org/officeDocument/2006/relationships" name="Formalización" sheetId="5" r:id="R32eb73c4acb24229"/>
    <x:sheet xmlns:r="http://schemas.openxmlformats.org/officeDocument/2006/relationships" name="Resultados" sheetId="6" r:id="R9dc7811868854013"/>
    <x:sheet xmlns:r="http://schemas.openxmlformats.org/officeDocument/2006/relationships" name="Glosario y fuentes" sheetId="7" r:id="R1d8026a3bf5149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[Red](#,##0);–"/>
    <x:numFmt numFmtId="201" formatCode="0.0%;[Red](0.0%);–"/>
    <x:numFmt numFmtId="202" formatCode="0.0;[Red](0.0);–"/>
  </x:numFmts>
  <x:fonts count="5">
    <x:font>
      <x:sz val="11"/>
      <x:name val="Carlito"/>
    </x:font>
    <x:font>
      <x:b/>
      <x:sz val="17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33047"/>
      </x:patternFill>
    </x:fill>
    <x:fill>
      <x:patternFill patternType="solid">
        <x:fgColor rgb="FF087F72"/>
      </x:patternFill>
    </x:fill>
    <x:fill>
      <x:patternFill patternType="solid">
        <x:fgColor rgb="FFFFF0B8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200" fontId="4" fillId="4" borderId="0" xfId="0" applyNumberFormat="1" applyFont="1" applyFill="1" applyBorder="1"/>
    <x:xf numFmtId="200" fontId="4" fillId="4" borderId="1" xfId="0" applyNumberFormat="1" applyFont="1" applyFill="1" applyBorder="1"/>
    <x:xf numFmtId="201" fontId="4" fillId="4" borderId="0" xfId="0" applyNumberFormat="1" applyFont="1" applyFill="1" applyBorder="1"/>
    <x:xf numFmtId="201" fontId="4" fillId="4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7537d123584754" /><Relationship Type="http://schemas.openxmlformats.org/officeDocument/2006/relationships/theme" Target="/xl/theme/theme1.xml" Id="Ra7bfee0749454966" /><Relationship Type="http://schemas.openxmlformats.org/officeDocument/2006/relationships/sharedStrings" Target="/xl/sharedStrings.xml" Id="R92ccf2c2a95340f5" /><Relationship Type="http://schemas.openxmlformats.org/officeDocument/2006/relationships/worksheet" Target="/xl/worksheets/sheet1.xml" Id="Rbe6c50d86707458d" /><Relationship Type="http://schemas.openxmlformats.org/officeDocument/2006/relationships/worksheet" Target="/xl/worksheets/sheet2.xml" Id="R5c1d0167f36340aa" /><Relationship Type="http://schemas.openxmlformats.org/officeDocument/2006/relationships/worksheet" Target="/xl/worksheets/sheet3.xml" Id="R8d7cb1742c4b4ce3" /><Relationship Type="http://schemas.openxmlformats.org/officeDocument/2006/relationships/worksheet" Target="/xl/worksheets/sheet4.xml" Id="R4f4dd6a52dcd4dc0" /><Relationship Type="http://schemas.openxmlformats.org/officeDocument/2006/relationships/worksheet" Target="/xl/worksheets/sheet5.xml" Id="R32eb73c4acb24229" /><Relationship Type="http://schemas.openxmlformats.org/officeDocument/2006/relationships/worksheet" Target="/xl/worksheets/sheet6.xml" Id="R9dc7811868854013" /><Relationship Type="http://schemas.openxmlformats.org/officeDocument/2006/relationships/worksheet" Target="/xl/worksheets/sheet7.xml" Id="R1d8026a3bf5149a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8a8ea3f45204a19" /><Relationship Type="http://schemas.openxmlformats.org/officeDocument/2006/relationships/chart" Target="/xl/drawings/charts/chart2.xml" Id="R1608b387b18f41d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Ventas · recaudos · caja y reserva</a:t>
            </a:r>
          </a:p>
        </c:rich>
      </c:tx>
    </c:title>
    <c:plotArea>
      <c:lineChart>
        <c:grouping val="standard"/>
        <c:ser>
          <c:idx val="0"/>
          <c:order val="0"/>
          <c:tx>
            <c:v>Ventas</c:v>
          </c:tx>
          <c:marker>
            <c:symbol val="none"/>
          </c:marker>
          <c:cat>
            <c:strRef>
              <c:f>'Resultados'!$F$4:$F$15</c:f>
              <c:strCache>
                <c:ptCount val="0"/>
              </c:strCache>
            </c:strRef>
          </c:cat>
          <c:val>
            <c:numRef>
              <c:f>'Resultados'!$G$4:$G$15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Recaudos</c:v>
          </c:tx>
          <c:marker>
            <c:symbol val="none"/>
          </c:marker>
          <c:cat>
            <c:strRef>
              <c:f>'Resultados'!$F$4:$F$15</c:f>
              <c:strCache>
                <c:ptCount val="0"/>
              </c:strCache>
            </c:strRef>
          </c:cat>
          <c:val>
            <c:numRef>
              <c:f>'Resultados'!$H$4:$H$15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Caja formal</c:v>
          </c:tx>
          <c:marker>
            <c:symbol val="none"/>
          </c:marker>
          <c:cat>
            <c:strRef>
              <c:f>'Resultados'!$F$4:$F$15</c:f>
              <c:strCache>
                <c:ptCount val="0"/>
              </c:strCache>
            </c:strRef>
          </c:cat>
          <c:val>
            <c:numRef>
              <c:f>'Resultados'!$I$4:$I$15</c:f>
              <c:numCache>
                <c:formatCode>General</c:formatCode>
                <c:ptCount val="0"/>
              </c:numCache>
            </c:numRef>
          </c:val>
        </c:ser>
        <c:ser>
          <c:idx val="3"/>
          <c:order val="3"/>
          <c:tx>
            <c:v>Reserva</c:v>
          </c:tx>
          <c:marker>
            <c:symbol val="none"/>
          </c:marker>
          <c:cat>
            <c:strRef>
              <c:f>'Resultados'!$F$4:$F$15</c:f>
              <c:strCache>
                <c:ptCount val="0"/>
              </c:strCache>
            </c:strRef>
          </c:cat>
          <c:val>
            <c:numRef>
              <c:f>'Resultados'!$J$4:$J$15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Comparativo de formalización</a:t>
            </a:r>
          </a:p>
        </c:rich>
      </c:tx>
    </c:title>
    <c:plotArea>
      <c:lineChart>
        <c:grouping val="standard"/>
        <c:ser>
          <c:idx val="0"/>
          <c:order val="0"/>
          <c:tx>
            <c:v>Series 1</c:v>
          </c:tx>
          <c:marker>
            <c:symbol val="none"/>
          </c:marker>
          <c:cat>
            <c:strRef>
              <c:f>'Formalización'!$A$3</c:f>
              <c:strCache>
                <c:ptCount val="0"/>
              </c:strCache>
            </c:strRef>
          </c:cat>
          <c:val>
            <c:numRef>
              <c:f>'Formalización'!$B$3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Series 2</c:v>
          </c:tx>
          <c:marker>
            <c:symbol val="none"/>
          </c:marker>
          <c:cat>
            <c:strRef>
              <c:f>'Formalización'!$A$3</c:f>
              <c:strCache>
                <c:ptCount val="0"/>
              </c:strCache>
            </c:strRef>
          </c:cat>
          <c:val>
            <c:numRef>
              <c:f>'Formalización'!$C$3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Series 3</c:v>
          </c:tx>
          <c:marker>
            <c:symbol val="none"/>
          </c:marker>
          <c:cat>
            <c:strRef>
              <c:f>'Formalización'!$A$3</c:f>
              <c:strCache>
                <c:ptCount val="0"/>
              </c:strCache>
            </c:strRef>
          </c:cat>
          <c:val>
            <c:numRef>
              <c:f>'Formalización'!$D$3</c:f>
              <c:numCache>
                <c:formatCode>General</c:formatCode>
                <c:ptCount val="0"/>
              </c:numCache>
            </c:numRef>
          </c:val>
        </c:ser>
        <c:ser>
          <c:idx val="3"/>
          <c:order val="3"/>
          <c:tx>
            <c:v>Series 4</c:v>
          </c:tx>
          <c:marker>
            <c:symbol val="none"/>
          </c:marker>
          <c:cat>
            <c:strRef>
              <c:f>'Formalización'!$A$3</c:f>
              <c:strCache>
                <c:ptCount val="0"/>
              </c:strCache>
            </c:strRef>
          </c:cat>
          <c:val>
            <c:numRef>
              <c:f>'Formalización'!$E$3</c:f>
              <c:numCache>
                <c:formatCode>General</c:formatCode>
                <c:ptCount val="0"/>
              </c:numCache>
            </c:numRef>
          </c:val>
        </c:ser>
        <c:ser>
          <c:idx val="4"/>
          <c:order val="4"/>
          <c:tx>
            <c:v>Series 5</c:v>
          </c:tx>
          <c:marker>
            <c:symbol val="none"/>
          </c:marker>
          <c:cat>
            <c:strRef>
              <c:f>'Formalización'!$A$3</c:f>
              <c:strCache>
                <c:ptCount val="0"/>
              </c:strCache>
            </c:strRef>
          </c:cat>
          <c:val>
            <c:numRef>
              <c:f>'Formalización'!$F$3</c:f>
              <c:numCache>
                <c:formatCode>General</c:formatCode>
                <c:ptCount val="0"/>
              </c:numCache>
            </c:numRef>
          </c:val>
        </c:ser>
        <c:ser>
          <c:idx val="5"/>
          <c:order val="5"/>
          <c:tx>
            <c:v>Series 6</c:v>
          </c:tx>
          <c:marker>
            <c:symbol val="none"/>
          </c:marker>
          <c:cat>
            <c:strRef>
              <c:f>'Formalización'!$A$3</c:f>
              <c:strCache>
                <c:ptCount val="0"/>
              </c:strCache>
            </c:strRef>
          </c:cat>
          <c:val>
            <c:numRef>
              <c:f>'Formalización'!$G$3</c:f>
              <c:numCache>
                <c:formatCode>General</c:formatCode>
                <c:ptCount val="0"/>
              </c:numCache>
            </c:numRef>
          </c:val>
        </c:ser>
        <c:ser>
          <c:idx val="6"/>
          <c:order val="6"/>
          <c:tx>
            <c:v>Series 7</c:v>
          </c:tx>
          <c:marker>
            <c:symbol val="none"/>
          </c:marker>
          <c:cat>
            <c:strRef>
              <c:f>'Formalización'!$A$3</c:f>
              <c:strCache>
                <c:ptCount val="0"/>
              </c:strCache>
            </c:strRef>
          </c:cat>
          <c:val>
            <c:numRef>
              <c:f>'Formalización'!$H$3</c:f>
              <c:numCache>
                <c:formatCode>General</c:formatCode>
                <c:ptCount val="0"/>
              </c:numCache>
            </c:numRef>
          </c:val>
        </c:ser>
        <c:ser>
          <c:idx val="7"/>
          <c:order val="7"/>
          <c:tx>
            <c:v>Series 8</c:v>
          </c:tx>
          <c:marker>
            <c:symbol val="none"/>
          </c:marker>
          <c:cat>
            <c:strRef>
              <c:f>'Formalización'!$A$3</c:f>
              <c:strCache>
                <c:ptCount val="0"/>
              </c:strCache>
            </c:strRef>
          </c:cat>
          <c:val>
            <c:numRef>
              <c:f>'Formalización'!$I$3</c:f>
              <c:numCache>
                <c:formatCode>General</c:formatCode>
                <c:ptCount val="0"/>
              </c:numCache>
            </c:numRef>
          </c:val>
        </c:ser>
        <c:ser>
          <c:idx val="8"/>
          <c:order val="8"/>
          <c:tx>
            <c:v>Series 9</c:v>
          </c:tx>
          <c:marker>
            <c:symbol val="none"/>
          </c:marker>
          <c:cat>
            <c:strRef>
              <c:f>'Formalización'!$A$3</c:f>
              <c:strCache>
                <c:ptCount val="0"/>
              </c:strCache>
            </c:strRef>
          </c:cat>
          <c:val>
            <c:numRef>
              <c:f>'Formalización'!$J$3</c:f>
              <c:numCache>
                <c:formatCode>General</c:formatCode>
                <c:ptCount val="0"/>
              </c:numCache>
            </c:numRef>
          </c:val>
        </c:ser>
        <c:ser>
          <c:idx val="9"/>
          <c:order val="9"/>
          <c:tx>
            <c:v>Series 10</c:v>
          </c:tx>
          <c:marker>
            <c:symbol val="none"/>
          </c:marker>
          <c:cat>
            <c:strRef>
              <c:f>'Formalización'!$A$3</c:f>
              <c:strCache>
                <c:ptCount val="0"/>
              </c:strCache>
            </c:strRef>
          </c:cat>
          <c:val>
            <c:numRef>
              <c:f>'Formalización'!$K$3</c:f>
              <c:numCache>
                <c:formatCode>General</c:formatCode>
                <c:ptCount val="0"/>
              </c:numCache>
            </c:numRef>
          </c:val>
        </c:ser>
        <c:ser>
          <c:idx val="10"/>
          <c:order val="10"/>
          <c:tx>
            <c:v>Series 11</c:v>
          </c:tx>
          <c:marker>
            <c:symbol val="none"/>
          </c:marker>
          <c:cat>
            <c:strRef>
              <c:f>'Formalización'!$A$3</c:f>
              <c:strCache>
                <c:ptCount val="0"/>
              </c:strCache>
            </c:strRef>
          </c:cat>
          <c:val>
            <c:numRef>
              <c:f>'Formalización'!$L$3</c:f>
              <c:numCache>
                <c:formatCode>General</c:formatCode>
                <c:ptCount val="0"/>
              </c:numCache>
            </c:numRef>
          </c:val>
        </c:ser>
        <c:ser>
          <c:idx val="11"/>
          <c:order val="11"/>
          <c:tx>
            <c:v>Series 12</c:v>
          </c:tx>
          <c:marker>
            <c:symbol val="none"/>
          </c:marker>
          <c:cat>
            <c:strRef>
              <c:f>'Formalización'!$A$3</c:f>
              <c:strCache>
                <c:ptCount val="0"/>
              </c:strCache>
            </c:strRef>
          </c:cat>
          <c:val>
            <c:numRef>
              <c:f>'Formalización'!$M$3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17</xdr:row>
      <xdr:rowOff>0</xdr:rowOff>
    </xdr:from>
    <xdr:to>
      <xdr:col>15</xdr:col>
      <xdr:colOff>0</xdr:colOff>
      <xdr:row>35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8a8ea3f45204a19"/>
        </a:graphicData>
      </a:graphic>
    </xdr:graphicFrame>
    <xdr:clientData/>
  </xdr:twoCellAnchor>
  <xdr:twoCellAnchor>
    <xdr:from>
      <xdr:col>5</xdr:col>
      <xdr:colOff>0</xdr:colOff>
      <xdr:row>36</xdr:row>
      <xdr:rowOff>0</xdr:rowOff>
    </xdr:from>
    <xdr:to>
      <xdr:col>15</xdr:col>
      <xdr:colOff>0</xdr:colOff>
      <xdr:row>52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608b387b18f41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8ac2605802114882" /></Relationships>
</file>

<file path=xl/worksheets/sheet1.xml><?xml version="1.0" encoding="utf-8"?>
<x:worksheet xmlns:x="http://schemas.openxmlformats.org/spreadsheetml/2006/main">
  <x:sheetFormatPr defaultRowHeight="15"/>
  <x:cols>
    <x:col min="1" max="1" width="37" hidden="0" customWidth="1"/>
    <x:col min="2" max="2" width="72" hidden="0" customWidth="1"/>
  </x:cols>
  <x:sheetData>
    <x:row r="1" ht="34" customHeight="1">
      <x:c r="A1" s="3" t="str">
        <x:v>TALLER · Freelance Pipeline &amp; Runway | Colombia 2026</x:v>
      </x:c>
    </x:row>
    <x:row r="3">
      <x:c r="A3" s="8" t="str">
        <x:v>Pregunta guía</x:v>
      </x:c>
      <x:c r="B3" s="6" t="str">
        <x:v>¿Cuántos clientes debo contratar y cobrar para sostener la operación sin agotar mi reserva?</x:v>
      </x:c>
    </x:row>
    <x:row r="4">
      <x:c r="A4" s="8" t="str">
        <x:v>Resultado de aprendizaje 1</x:v>
      </x:c>
      <x:c r="B4" s="6" t="str">
        <x:v>Interpretar la situación actual del proyecto usando análisis interno y externo.</x:v>
      </x:c>
    </x:row>
    <x:row r="5">
      <x:c r="A5" s="8" t="str">
        <x:v>Resultado de aprendizaje 2</x:v>
      </x:c>
      <x:c r="B5" s="6" t="str">
        <x:v>Identificar escenarios futuros mediante planeación estratégica y presupuestos.</x:v>
      </x:c>
    </x:row>
    <x:row r="6">
      <x:c r="A6" s="8" t="str">
        <x:v>Paso 1 · 15 min</x:v>
      </x:c>
      <x:c r="B6" s="6" t="str">
        <x:v>Elige el tipo de freelance y sustenta 3 supuestos comerciales con evidencia.</x:v>
      </x:c>
    </x:row>
    <x:row r="7">
      <x:c r="A7" s="8" t="str">
        <x:v>Paso 2 · 20 min</x:v>
      </x:c>
      <x:c r="B7" s="6" t="str">
        <x:v>Ajusta leads, conversiones, precio y capacidad. Identifica la diferencia contratos/entregas.</x:v>
      </x:c>
    </x:row>
    <x:row r="8">
      <x:c r="A8" s="8" t="str">
        <x:v>Paso 3 · 25 min</x:v>
      </x:c>
      <x:c r="B8" s="6" t="str">
        <x:v>Ajusta anticipo y demora en cobro. Explica el puente entre facturación y caja.</x:v>
      </x:c>
    </x:row>
    <x:row r="9">
      <x:c r="A9" s="8" t="str">
        <x:v>Paso 4 · 20 min</x:v>
      </x:c>
      <x:c r="B9" s="6" t="str">
        <x:v>Compara costos de formalización y el runway proyectado.</x:v>
      </x:c>
    </x:row>
    <x:row r="10">
      <x:c r="A10" s="8" t="str">
        <x:v>Paso 5 · 20 min</x:v>
      </x:c>
      <x:c r="B10" s="6" t="str">
        <x:v>Ejecuta escenario base, presión IA y futuro preferible. Presenta un memo.</x:v>
      </x:c>
    </x:row>
    <x:row r="11">
      <x:c r="A11" s="8" t="str">
        <x:v>Entregable 1</x:v>
      </x:c>
      <x:c r="B11" s="6" t="str">
        <x:v>Diagnóstico breve: cliente, oferta y evidencia de 3 supuestos.</x:v>
      </x:c>
    </x:row>
    <x:row r="12">
      <x:c r="A12" s="8" t="str">
        <x:v>Entregable 2</x:v>
      </x:c>
      <x:c r="B12" s="6" t="str">
        <x:v>Tabla comparativa con caja mínima, primer mes bajo reserva y decisión argumentada.</x:v>
      </x:c>
    </x:row>
    <x:row r="13">
      <x:c r="A13" s="8" t="str">
        <x:v>Criterio de calidad</x:v>
      </x:c>
      <x:c r="B13" s="6" t="str">
        <x:v>No confundir contratos con cobros, utilidad con caja ni escenario preferible con pronóstico.</x:v>
      </x:c>
    </x:row>
    <x:row r="14">
      <x:c r="A14" s="8" t="str">
        <x:v>Unidad monetaria</x:v>
      </x:c>
      <x:c r="B14" s="6" t="str">
        <x:v>COP; cifras ilustrativas y editables. No constituyen una cotización ni liquidación tributaria.</x:v>
      </x:c>
    </x:row>
    <x:row r="15">
      <x:c r="A15" s="8" t="str">
        <x:v>Fuente original</x:v>
      </x:c>
      <x:c r="B15" s="6" t="str">
        <x:v>Zuluaga, W. (s. f.). Empresa consultoría [Plantilla de proyecciones financieras]. https://cutt.ly/empresa_consultoria</x:v>
      </x:c>
    </x:row>
  </x:sheetData>
  <x:mergeCells>
    <x:mergeCell ref="A1:C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7" hidden="0" customWidth="1"/>
    <x:col min="2" max="2" width="21" hidden="0" customWidth="1"/>
    <x:col min="4" max="4" width="75" hidden="0" customWidth="1"/>
  </x:cols>
  <x:sheetData>
    <x:row r="1" ht="34" customHeight="1">
      <x:c r="A1" s="3" t="str">
        <x:v>01 · SUPUESTOS EDITABLES (amarillo)</x:v>
      </x:c>
    </x:row>
    <x:row r="3" ht="26" customHeight="1">
      <x:c r="A3" s="12" t="str">
        <x:v>Variable</x:v>
      </x:c>
      <x:c r="B3" s="12" t="str">
        <x:v>Valor</x:v>
      </x:c>
      <x:c r="C3" s="12" t="str">
        <x:v>Unidad</x:v>
      </x:c>
      <x:c r="D3" s="12" t="str">
        <x:v>Origen / interpretación</x:v>
      </x:c>
    </x:row>
    <x:row r="4">
      <x:c r="A4" t="str">
        <x:v>Capital propio inicial</x:v>
      </x:c>
      <x:c r="B4" s="20" t="n">
        <x:v>12000000</x:v>
      </x:c>
      <x:c r="C4" t="str">
        <x:v>COP</x:v>
      </x:c>
      <x:c r="D4" s="6" t="str">
        <x:v>Hipótesis del estudiante; caja disponible, no ventas.</x:v>
      </x:c>
    </x:row>
    <x:row r="5">
      <x:c r="A5" t="str">
        <x:v>Reserva mínima</x:v>
      </x:c>
      <x:c r="B5" s="20" t="n">
        <x:v>2000000</x:v>
      </x:c>
      <x:c r="C5" t="str">
        <x:v>COP</x:v>
      </x:c>
      <x:c r="D5" s="6" t="str">
        <x:v>Meta prudencial; al caer por debajo aparece alerta.</x:v>
      </x:c>
    </x:row>
    <x:row r="6">
      <x:c r="A6" t="str">
        <x:v>Leads iniciales al mes</x:v>
      </x:c>
      <x:c r="B6" s="17" t="n">
        <x:v>26</x:v>
      </x:c>
      <x:c r="C6" t="str">
        <x:v>personas</x:v>
      </x:c>
      <x:c r="D6" s="6" t="str">
        <x:v>Hipótesis comercial, no dato observado.</x:v>
      </x:c>
    </x:row>
    <x:row r="7">
      <x:c r="A7" t="str">
        <x:v>Crecimiento mensual leads</x:v>
      </x:c>
      <x:c r="B7" s="22" t="n">
        <x:v>0.05</x:v>
      </x:c>
      <x:c r="C7" t="str">
        <x:v>%</x:v>
      </x:c>
      <x:c r="D7" s="6" t="str">
        <x:v>Supuesto de prospección.</x:v>
      </x:c>
    </x:row>
    <x:row r="8">
      <x:c r="A8" t="str">
        <x:v>Tasa de calificación</x:v>
      </x:c>
      <x:c r="B8" s="22" t="n">
        <x:v>0.58</x:v>
      </x:c>
      <x:c r="C8" t="str">
        <x:v>%</x:v>
      </x:c>
      <x:c r="D8" s="6" t="str">
        <x:v>Leads con necesidad viable / leads.</x:v>
      </x:c>
    </x:row>
    <x:row r="9">
      <x:c r="A9" t="str">
        <x:v>Tasa de propuesta</x:v>
      </x:c>
      <x:c r="B9" s="22" t="n">
        <x:v>0.62</x:v>
      </x:c>
      <x:c r="C9" t="str">
        <x:v>%</x:v>
      </x:c>
      <x:c r="D9" s="6" t="str">
        <x:v>Propuestas / leads calificados.</x:v>
      </x:c>
    </x:row>
    <x:row r="10">
      <x:c r="A10" t="str">
        <x:v>Tasa de cierre</x:v>
      </x:c>
      <x:c r="B10" s="22" t="n">
        <x:v>0.26</x:v>
      </x:c>
      <x:c r="C10" t="str">
        <x:v>%</x:v>
      </x:c>
      <x:c r="D10" s="6" t="str">
        <x:v>Contratos / propuestas.</x:v>
      </x:c>
    </x:row>
    <x:row r="11">
      <x:c r="A11" t="str">
        <x:v>Capacidad mensual</x:v>
      </x:c>
      <x:c r="B11" s="17" t="n">
        <x:v>3</x:v>
      </x:c>
      <x:c r="C11" t="str">
        <x:v>proyectos</x:v>
      </x:c>
      <x:c r="D11" s="6" t="str">
        <x:v>Límite de proyectos ejecutables.</x:v>
      </x:c>
    </x:row>
    <x:row r="12">
      <x:c r="A12" t="str">
        <x:v>Precio por proyecto</x:v>
      </x:c>
      <x:c r="B12" s="20" t="n">
        <x:v>3000000</x:v>
      </x:c>
      <x:c r="C12" t="str">
        <x:v>COP</x:v>
      </x:c>
      <x:c r="D12" s="6" t="str">
        <x:v>Tarifa hipotética, no referencia oficial de mercado.</x:v>
      </x:c>
    </x:row>
    <x:row r="13">
      <x:c r="A13" t="str">
        <x:v>Descuento promedio</x:v>
      </x:c>
      <x:c r="B13" s="22" t="n">
        <x:v>0.05</x:v>
      </x:c>
      <x:c r="C13" t="str">
        <x:v>%</x:v>
      </x:c>
      <x:c r="D13" s="6" t="str">
        <x:v>Reducción frente a tarifa lista.</x:v>
      </x:c>
    </x:row>
    <x:row r="14">
      <x:c r="A14" t="str">
        <x:v>Anticipo</x:v>
      </x:c>
      <x:c r="B14" s="22" t="n">
        <x:v>0.4</x:v>
      </x:c>
      <x:c r="C14" t="str">
        <x:v>%</x:v>
      </x:c>
      <x:c r="D14" s="6" t="str">
        <x:v>Porción facturada cobrada en el mes.</x:v>
      </x:c>
    </x:row>
    <x:row r="15">
      <x:c r="A15" t="str">
        <x:v>Plazo de saldo</x:v>
      </x:c>
      <x:c r="B15" s="17" t="n">
        <x:v>1</x:v>
      </x:c>
      <x:c r="C15" t="str">
        <x:v>meses</x:v>
      </x:c>
      <x:c r="D15" s="6" t="str">
        <x:v>Meses después de facturación para recibir saldo.</x:v>
      </x:c>
    </x:row>
    <x:row r="16">
      <x:c r="A16" t="str">
        <x:v>Incobrable saldo</x:v>
      </x:c>
      <x:c r="B16" s="22" t="n">
        <x:v>0.02</x:v>
      </x:c>
      <x:c r="C16" t="str">
        <x:v>%</x:v>
      </x:c>
      <x:c r="D16" s="6" t="str">
        <x:v>Porcentaje del saldo diferido que se pierde.</x:v>
      </x:c>
    </x:row>
    <x:row r="17">
      <x:c r="A17" t="str">
        <x:v>Costo variable / ventas</x:v>
      </x:c>
      <x:c r="B17" s="22" t="n">
        <x:v>0.15</x:v>
      </x:c>
      <x:c r="C17" t="str">
        <x:v>%</x:v>
      </x:c>
      <x:c r="D17" s="6" t="str">
        <x:v>Subcontratación y consumibles.</x:v>
      </x:c>
    </x:row>
    <x:row r="18">
      <x:c r="A18" t="str">
        <x:v>IA por proyecto</x:v>
      </x:c>
      <x:c r="B18" s="20" t="n">
        <x:v>80000</x:v>
      </x:c>
      <x:c r="C18" t="str">
        <x:v>COP</x:v>
      </x:c>
      <x:c r="D18" s="6" t="str">
        <x:v>Costo incremental de herramientas IA.</x:v>
      </x:c>
    </x:row>
    <x:row r="19">
      <x:c r="A19" t="str">
        <x:v>Gastos fijos / mes</x:v>
      </x:c>
      <x:c r="B19" s="20" t="n">
        <x:v>1800000</x:v>
      </x:c>
      <x:c r="C19" t="str">
        <x:v>COP</x:v>
      </x:c>
      <x:c r="D19" s="6" t="str">
        <x:v>Costos de operación, sin fundador.</x:v>
      </x:c>
    </x:row>
    <x:row r="20">
      <x:c r="A20" t="str">
        <x:v>Marketing / mes</x:v>
      </x:c>
      <x:c r="B20" s="20" t="n">
        <x:v>250000</x:v>
      </x:c>
      <x:c r="C20" t="str">
        <x:v>COP</x:v>
      </x:c>
      <x:c r="D20" s="6" t="str">
        <x:v>Prospección y publicidad.</x:v>
      </x:c>
    </x:row>
    <x:row r="21">
      <x:c r="A21" t="str">
        <x:v>Software / mes</x:v>
      </x:c>
      <x:c r="B21" s="20" t="n">
        <x:v>180000</x:v>
      </x:c>
      <x:c r="C21" t="str">
        <x:v>COP</x:v>
      </x:c>
      <x:c r="D21" s="6" t="str">
        <x:v>Herramientas recurrentes.</x:v>
      </x:c>
    </x:row>
    <x:row r="22">
      <x:c r="A22" t="str">
        <x:v>Aportes / mes</x:v>
      </x:c>
      <x:c r="B22" s="20" t="n">
        <x:v>650000</x:v>
      </x:c>
      <x:c r="C22" t="str">
        <x:v>COP</x:v>
      </x:c>
      <x:c r="D22" s="6" t="str">
        <x:v>Supuesto editable, validar según condición individual.</x:v>
      </x:c>
    </x:row>
    <x:row r="23">
      <x:c r="A23" t="str">
        <x:v>Retiro fundador / mes</x:v>
      </x:c>
      <x:c r="B23" s="20" t="n">
        <x:v>2200000</x:v>
      </x:c>
      <x:c r="C23" t="str">
        <x:v>COP</x:v>
      </x:c>
      <x:c r="D23" s="6" t="str">
        <x:v>Dinero retirado; no equivale necesariamente al costo económico.</x:v>
      </x:c>
    </x:row>
    <x:row r="24">
      <x:c r="A24" t="str">
        <x:v>Reserva tributaria / ventas</x:v>
      </x:c>
      <x:c r="B24" s="22" t="n">
        <x:v>0.08</x:v>
      </x:c>
      <x:c r="C24" t="str">
        <x:v>%</x:v>
      </x:c>
      <x:c r="D24" s="6" t="str">
        <x:v>Provisión didáctica, NO impuesto determinado.</x:v>
      </x:c>
    </x:row>
    <x:row r="25">
      <x:c r="A25" t="str">
        <x:v>Formalización inicial</x:v>
      </x:c>
      <x:c r="B25" s="20" t="n">
        <x:v>1643090</x:v>
      </x:c>
      <x:c r="C25" t="str">
        <x:v>COP</x:v>
      </x:c>
      <x:c r="D25" s="6" t="str">
        <x:v>Componentes ilustrativos según Buk; editar según caso.</x:v>
      </x:c>
    </x:row>
    <x:row r="26">
      <x:c r="A26" t="str">
        <x:v>Formalización mensual</x:v>
      </x:c>
      <x:c r="B26" s="20" t="n">
        <x:v>55000</x:v>
      </x:c>
      <x:c r="C26" t="str">
        <x:v>COP</x:v>
      </x:c>
      <x:c r="D26" s="6" t="str">
        <x:v>Software facturación, estimación didáctica.</x:v>
      </x:c>
    </x:row>
    <x:row r="27">
      <x:c r="A27" t="str">
        <x:v>Salario mínimo de referencia 2026</x:v>
      </x:c>
      <x:c r="B27" s="20" t="n">
        <x:v>1750905</x:v>
      </x:c>
      <x:c r="C27" t="str">
        <x:v>COP</x:v>
      </x:c>
      <x:c r="D27" s="6" t="str">
        <x:v>Referencia contextual; verificar vigencia normativa.</x:v>
      </x:c>
    </x:row>
    <x:row r="28">
      <x:c r="A28" t="str">
        <x:v>Auxilio transporte referencia 2026</x:v>
      </x:c>
      <x:c r="B28" s="20" t="n">
        <x:v>249095</x:v>
      </x:c>
      <x:c r="C28" t="str">
        <x:v>COP</x:v>
      </x:c>
      <x:c r="D28" s="6" t="str">
        <x:v>No aplica automáticamente a freelancer.</x:v>
      </x:c>
    </x:row>
    <x:row r="29">
      <x:c r="A29" t="str">
        <x:v>Escenario demanda IA (factor)</x:v>
      </x:c>
      <x:c r="B29" s="17" t="n">
        <x:v>0.82</x:v>
      </x:c>
      <x:c r="C29" t="str">
        <x:v>factor</x:v>
      </x:c>
      <x:c r="D29" s="6" t="str">
        <x:v>Ejemplo estrés, no proyección Brookings.</x:v>
      </x:c>
    </x:row>
    <x:row r="30">
      <x:c r="A30" t="str">
        <x:v>Escenario tarifa IA (factor)</x:v>
      </x:c>
      <x:c r="B30" s="17" t="n">
        <x:v>0.88</x:v>
      </x:c>
      <x:c r="C30" t="str">
        <x:v>factor</x:v>
      </x:c>
      <x:c r="D30" s="6" t="str">
        <x:v>Ejemplo estrés, no proyección Brookings.</x:v>
      </x:c>
    </x:row>
    <x:row r="31">
      <x:c r="A31" t="str">
        <x:v>Escenario plazo adicional IA</x:v>
      </x:c>
      <x:c r="B31" s="17" t="n">
        <x:v>1</x:v>
      </x:c>
      <x:c r="C31" t="str">
        <x:v>mes</x:v>
      </x:c>
      <x:c r="D31" s="6" t="str">
        <x:v>Prueba de atraso de recaudos.</x:v>
      </x:c>
    </x:row>
    <x:row r="32">
      <x:c r="A32" t="str">
        <x:v>Preferible: leads (factor)</x:v>
      </x:c>
      <x:c r="B32" s="17" t="n">
        <x:v>1.15</x:v>
      </x:c>
      <x:c r="C32" t="str">
        <x:v>factor</x:v>
      </x:c>
      <x:c r="D32" s="6" t="str">
        <x:v>Hipótesis de mejora, no probabilidad.</x:v>
      </x:c>
    </x:row>
    <x:row r="33">
      <x:c r="A33" t="str">
        <x:v>Preferible: anticipo adicional</x:v>
      </x:c>
      <x:c r="B33" s="22" t="n">
        <x:v>0.2</x:v>
      </x:c>
      <x:c r="C33" t="str">
        <x:v>pp</x:v>
      </x:c>
      <x:c r="D33" s="6" t="str">
        <x:v>Mejora sobre anticipo inicial, máximo 100 %.</x:v>
      </x:c>
    </x:row>
  </x:sheetData>
  <x:mergeCells>
    <x:mergeCell ref="A1:D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7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</x:cols>
  <x:sheetData>
    <x:row r="1" ht="34" customHeight="1">
      <x:c r="A1" s="3" t="str">
        <x:v>02 · PIPELINE → VENTAS | Modelo mensual</x:v>
      </x:c>
    </x:row>
    <x:row r="3" ht="26" customHeight="1">
      <x:c r="A3" s="12" t="str">
        <x:v>Concepto</x:v>
      </x:c>
      <x:c r="B3" s="12" t="str">
        <x:v>Mes 1</x:v>
      </x:c>
      <x:c r="C3" s="12" t="str">
        <x:v>Mes 2</x:v>
      </x:c>
      <x:c r="D3" s="12" t="str">
        <x:v>Mes 3</x:v>
      </x:c>
      <x:c r="E3" s="12" t="str">
        <x:v>Mes 4</x:v>
      </x:c>
      <x:c r="F3" s="12" t="str">
        <x:v>Mes 5</x:v>
      </x:c>
      <x:c r="G3" s="12" t="str">
        <x:v>Mes 6</x:v>
      </x:c>
      <x:c r="H3" s="12" t="str">
        <x:v>Mes 7</x:v>
      </x:c>
      <x:c r="I3" s="12" t="str">
        <x:v>Mes 8</x:v>
      </x:c>
      <x:c r="J3" s="12" t="str">
        <x:v>Mes 9</x:v>
      </x:c>
      <x:c r="K3" s="12" t="str">
        <x:v>Mes 10</x:v>
      </x:c>
      <x:c r="L3" s="12" t="str">
        <x:v>Mes 11</x:v>
      </x:c>
      <x:c r="M3" s="12" t="str">
        <x:v>Mes 12</x:v>
      </x:c>
    </x:row>
    <x:row r="4">
      <x:c r="A4" t="str">
        <x:v>Leads</x:v>
      </x:c>
      <x:c r="B4" s="24" t="n">
        <x:f>Supuestos!$B$6*(1+Supuestos!$B$7)^0</x:f>
        <x:v>26</x:v>
      </x:c>
      <x:c r="C4" s="24" t="n">
        <x:f>Supuestos!$B$6*(1+Supuestos!$B$7)^1</x:f>
        <x:v>27.3</x:v>
      </x:c>
      <x:c r="D4" s="24" t="n">
        <x:f>Supuestos!$B$6*(1+Supuestos!$B$7)^2</x:f>
        <x:v>28.665</x:v>
      </x:c>
      <x:c r="E4" s="24" t="n">
        <x:f>Supuestos!$B$6*(1+Supuestos!$B$7)^3</x:f>
        <x:v>30.098250000000004</x:v>
      </x:c>
      <x:c r="F4" s="24" t="n">
        <x:f>Supuestos!$B$6*(1+Supuestos!$B$7)^4</x:f>
        <x:v>31.6031625</x:v>
      </x:c>
      <x:c r="G4" s="24" t="n">
        <x:f>Supuestos!$B$6*(1+Supuestos!$B$7)^5</x:f>
        <x:v>33.183320625</x:v>
      </x:c>
      <x:c r="H4" s="24" t="n">
        <x:f>Supuestos!$B$6*(1+Supuestos!$B$7)^6</x:f>
        <x:v>34.84248665625</x:v>
      </x:c>
      <x:c r="I4" s="24" t="n">
        <x:f>Supuestos!$B$6*(1+Supuestos!$B$7)^7</x:f>
        <x:v>36.584610989062504</x:v>
      </x:c>
      <x:c r="J4" s="24" t="n">
        <x:f>Supuestos!$B$6*(1+Supuestos!$B$7)^8</x:f>
        <x:v>38.413841538515626</x:v>
      </x:c>
      <x:c r="K4" s="24" t="n">
        <x:f>Supuestos!$B$6*(1+Supuestos!$B$7)^9</x:f>
        <x:v>40.33453361544141</x:v>
      </x:c>
      <x:c r="L4" s="24" t="n">
        <x:f>Supuestos!$B$6*(1+Supuestos!$B$7)^10</x:f>
        <x:v>42.35126029621348</x:v>
      </x:c>
      <x:c r="M4" s="24" t="n">
        <x:f>Supuestos!$B$6*(1+Supuestos!$B$7)^11</x:f>
        <x:v>44.46882331102416</x:v>
      </x:c>
    </x:row>
    <x:row r="5">
      <x:c r="A5" t="str">
        <x:v>Oportunidades calificadas</x:v>
      </x:c>
      <x:c r="B5" s="24" t="n">
        <x:f>B4*Supuestos!$B$8</x:f>
        <x:v>15.079999999999998</x:v>
      </x:c>
      <x:c r="C5" s="24" t="n">
        <x:f>C4*Supuestos!$B$8</x:f>
        <x:v>15.834</x:v>
      </x:c>
      <x:c r="D5" s="24" t="n">
        <x:f>D4*Supuestos!$B$8</x:f>
        <x:v>16.6257</x:v>
      </x:c>
      <x:c r="E5" s="24" t="n">
        <x:f>E4*Supuestos!$B$8</x:f>
        <x:v>17.456985</x:v>
      </x:c>
      <x:c r="F5" s="24" t="n">
        <x:f>F4*Supuestos!$B$8</x:f>
        <x:v>18.329834249999998</x:v>
      </x:c>
      <x:c r="G5" s="24" t="n">
        <x:f>G4*Supuestos!$B$8</x:f>
        <x:v>19.2463259625</x:v>
      </x:c>
      <x:c r="H5" s="24" t="n">
        <x:f>H4*Supuestos!$B$8</x:f>
        <x:v>20.208642260625002</x:v>
      </x:c>
      <x:c r="I5" s="24" t="n">
        <x:f>I4*Supuestos!$B$8</x:f>
        <x:v>21.21907437365625</x:v>
      </x:c>
      <x:c r="J5" s="24" t="n">
        <x:f>J4*Supuestos!$B$8</x:f>
        <x:v>22.280028092339062</x:v>
      </x:c>
      <x:c r="K5" s="24" t="n">
        <x:f>K4*Supuestos!$B$8</x:f>
        <x:v>23.394029496956016</x:v>
      </x:c>
      <x:c r="L5" s="24" t="n">
        <x:f>L4*Supuestos!$B$8</x:f>
        <x:v>24.563730971803817</x:v>
      </x:c>
      <x:c r="M5" s="24" t="n">
        <x:f>M4*Supuestos!$B$8</x:f>
        <x:v>25.791917520394012</x:v>
      </x:c>
    </x:row>
    <x:row r="6">
      <x:c r="A6" t="str">
        <x:v>Propuestas enviadas</x:v>
      </x:c>
      <x:c r="B6" s="24" t="n">
        <x:f>B5*Supuestos!$B$9</x:f>
        <x:v>9.349599999999999</x:v>
      </x:c>
      <x:c r="C6" s="24" t="n">
        <x:f>C5*Supuestos!$B$9</x:f>
        <x:v>9.817079999999999</x:v>
      </x:c>
      <x:c r="D6" s="24" t="n">
        <x:f>D5*Supuestos!$B$9</x:f>
        <x:v>10.307934</x:v>
      </x:c>
      <x:c r="E6" s="24" t="n">
        <x:f>E5*Supuestos!$B$9</x:f>
        <x:v>10.8233307</x:v>
      </x:c>
      <x:c r="F6" s="24" t="n">
        <x:f>F5*Supuestos!$B$9</x:f>
        <x:v>11.364497234999998</x:v>
      </x:c>
      <x:c r="G6" s="24" t="n">
        <x:f>G5*Supuestos!$B$9</x:f>
        <x:v>11.932722096749998</x:v>
      </x:c>
      <x:c r="H6" s="24" t="n">
        <x:f>H5*Supuestos!$B$9</x:f>
        <x:v>12.5293582015875</x:v>
      </x:c>
      <x:c r="I6" s="24" t="n">
        <x:f>I5*Supuestos!$B$9</x:f>
        <x:v>13.155826111666876</x:v>
      </x:c>
      <x:c r="J6" s="24" t="n">
        <x:f>J5*Supuestos!$B$9</x:f>
        <x:v>13.813617417250219</x:v>
      </x:c>
      <x:c r="K6" s="24" t="n">
        <x:f>K5*Supuestos!$B$9</x:f>
        <x:v>14.50429828811273</x:v>
      </x:c>
      <x:c r="L6" s="24" t="n">
        <x:f>L5*Supuestos!$B$9</x:f>
        <x:v>15.229513202518367</x:v>
      </x:c>
      <x:c r="M6" s="24" t="n">
        <x:f>M5*Supuestos!$B$9</x:f>
        <x:v>15.990988862644288</x:v>
      </x:c>
    </x:row>
    <x:row r="7">
      <x:c r="A7" t="str">
        <x:v>Contratos esperados</x:v>
      </x:c>
      <x:c r="B7" s="24" t="n">
        <x:f>B6*Supuestos!$B$10</x:f>
        <x:v>2.4308959999999997</x:v>
      </x:c>
      <x:c r="C7" s="24" t="n">
        <x:f>C6*Supuestos!$B$10</x:f>
        <x:v>2.5524408</x:v>
      </x:c>
      <x:c r="D7" s="24" t="n">
        <x:f>D6*Supuestos!$B$10</x:f>
        <x:v>2.68006284</x:v>
      </x:c>
      <x:c r="E7" s="24" t="n">
        <x:f>E6*Supuestos!$B$10</x:f>
        <x:v>2.814065982</x:v>
      </x:c>
      <x:c r="F7" s="24" t="n">
        <x:f>F6*Supuestos!$B$10</x:f>
        <x:v>2.9547692810999995</x:v>
      </x:c>
      <x:c r="G7" s="24" t="n">
        <x:f>G6*Supuestos!$B$10</x:f>
        <x:v>3.1025077451549996</x:v>
      </x:c>
      <x:c r="H7" s="24" t="n">
        <x:f>H6*Supuestos!$B$10</x:f>
        <x:v>3.2576331324127503</x:v>
      </x:c>
      <x:c r="I7" s="24" t="n">
        <x:f>I6*Supuestos!$B$10</x:f>
        <x:v>3.420514789033388</x:v>
      </x:c>
      <x:c r="J7" s="24" t="n">
        <x:f>J6*Supuestos!$B$10</x:f>
        <x:v>3.5915405284850572</x:v>
      </x:c>
      <x:c r="K7" s="24" t="n">
        <x:f>K6*Supuestos!$B$10</x:f>
        <x:v>3.77111755490931</x:v>
      </x:c>
      <x:c r="L7" s="24" t="n">
        <x:f>L6*Supuestos!$B$10</x:f>
        <x:v>3.9596734326547756</x:v>
      </x:c>
      <x:c r="M7" s="24" t="n">
        <x:f>M6*Supuestos!$B$10</x:f>
        <x:v>4.157657104287515</x:v>
      </x:c>
    </x:row>
    <x:row r="8">
      <x:c r="A8" t="str">
        <x:v>Capacidad máxima</x:v>
      </x:c>
      <x:c r="B8" s="24" t="n">
        <x:f>Supuestos!$B$11</x:f>
        <x:v>3</x:v>
      </x:c>
      <x:c r="C8" s="24" t="n">
        <x:f>Supuestos!$B$11</x:f>
        <x:v>3</x:v>
      </x:c>
      <x:c r="D8" s="24" t="n">
        <x:f>Supuestos!$B$11</x:f>
        <x:v>3</x:v>
      </x:c>
      <x:c r="E8" s="24" t="n">
        <x:f>Supuestos!$B$11</x:f>
        <x:v>3</x:v>
      </x:c>
      <x:c r="F8" s="24" t="n">
        <x:f>Supuestos!$B$11</x:f>
        <x:v>3</x:v>
      </x:c>
      <x:c r="G8" s="24" t="n">
        <x:f>Supuestos!$B$11</x:f>
        <x:v>3</x:v>
      </x:c>
      <x:c r="H8" s="24" t="n">
        <x:f>Supuestos!$B$11</x:f>
        <x:v>3</x:v>
      </x:c>
      <x:c r="I8" s="24" t="n">
        <x:f>Supuestos!$B$11</x:f>
        <x:v>3</x:v>
      </x:c>
      <x:c r="J8" s="24" t="n">
        <x:f>Supuestos!$B$11</x:f>
        <x:v>3</x:v>
      </x:c>
      <x:c r="K8" s="24" t="n">
        <x:f>Supuestos!$B$11</x:f>
        <x:v>3</x:v>
      </x:c>
      <x:c r="L8" s="24" t="n">
        <x:f>Supuestos!$B$11</x:f>
        <x:v>3</x:v>
      </x:c>
      <x:c r="M8" s="24" t="n">
        <x:f>Supuestos!$B$11</x:f>
        <x:v>3</x:v>
      </x:c>
    </x:row>
    <x:row r="9">
      <x:c r="A9" t="str">
        <x:v>Proyectos entregados</x:v>
      </x:c>
      <x:c r="B9" s="24" t="n">
        <x:f>MIN(B7,B8)</x:f>
        <x:v>2.4308959999999997</x:v>
      </x:c>
      <x:c r="C9" s="24" t="n">
        <x:f>MIN(C7,C8)</x:f>
        <x:v>2.5524408</x:v>
      </x:c>
      <x:c r="D9" s="24" t="n">
        <x:f>MIN(D7,D8)</x:f>
        <x:v>2.68006284</x:v>
      </x:c>
      <x:c r="E9" s="24" t="n">
        <x:f>MIN(E7,E8)</x:f>
        <x:v>2.814065982</x:v>
      </x:c>
      <x:c r="F9" s="24" t="n">
        <x:f>MIN(F7,F8)</x:f>
        <x:v>2.9547692810999995</x:v>
      </x:c>
      <x:c r="G9" s="24" t="n">
        <x:f>MIN(G7,G8)</x:f>
        <x:v>3</x:v>
      </x:c>
      <x:c r="H9" s="24" t="n">
        <x:f>MIN(H7,H8)</x:f>
        <x:v>3</x:v>
      </x:c>
      <x:c r="I9" s="24" t="n">
        <x:f>MIN(I7,I8)</x:f>
        <x:v>3</x:v>
      </x:c>
      <x:c r="J9" s="24" t="n">
        <x:f>MIN(J7,J8)</x:f>
        <x:v>3</x:v>
      </x:c>
      <x:c r="K9" s="24" t="n">
        <x:f>MIN(K7,K8)</x:f>
        <x:v>3</x:v>
      </x:c>
      <x:c r="L9" s="24" t="n">
        <x:f>MIN(L7,L8)</x:f>
        <x:v>3</x:v>
      </x:c>
      <x:c r="M9" s="24" t="n">
        <x:f>MIN(M7,M8)</x:f>
        <x:v>3</x:v>
      </x:c>
    </x:row>
    <x:row r="10">
      <x:c r="A10" t="str">
        <x:v>Precio neto (COP)</x:v>
      </x:c>
      <x:c r="B10" s="26" t="n">
        <x:f>Supuestos!$B$12*(1-Supuestos!$B$13)</x:f>
        <x:v>2850000</x:v>
      </x:c>
      <x:c r="C10" s="26" t="n">
        <x:f>Supuestos!$B$12*(1-Supuestos!$B$13)</x:f>
        <x:v>2850000</x:v>
      </x:c>
      <x:c r="D10" s="26" t="n">
        <x:f>Supuestos!$B$12*(1-Supuestos!$B$13)</x:f>
        <x:v>2850000</x:v>
      </x:c>
      <x:c r="E10" s="26" t="n">
        <x:f>Supuestos!$B$12*(1-Supuestos!$B$13)</x:f>
        <x:v>2850000</x:v>
      </x:c>
      <x:c r="F10" s="26" t="n">
        <x:f>Supuestos!$B$12*(1-Supuestos!$B$13)</x:f>
        <x:v>2850000</x:v>
      </x:c>
      <x:c r="G10" s="26" t="n">
        <x:f>Supuestos!$B$12*(1-Supuestos!$B$13)</x:f>
        <x:v>2850000</x:v>
      </x:c>
      <x:c r="H10" s="26" t="n">
        <x:f>Supuestos!$B$12*(1-Supuestos!$B$13)</x:f>
        <x:v>2850000</x:v>
      </x:c>
      <x:c r="I10" s="26" t="n">
        <x:f>Supuestos!$B$12*(1-Supuestos!$B$13)</x:f>
        <x:v>2850000</x:v>
      </x:c>
      <x:c r="J10" s="26" t="n">
        <x:f>Supuestos!$B$12*(1-Supuestos!$B$13)</x:f>
        <x:v>2850000</x:v>
      </x:c>
      <x:c r="K10" s="26" t="n">
        <x:f>Supuestos!$B$12*(1-Supuestos!$B$13)</x:f>
        <x:v>2850000</x:v>
      </x:c>
      <x:c r="L10" s="26" t="n">
        <x:f>Supuestos!$B$12*(1-Supuestos!$B$13)</x:f>
        <x:v>2850000</x:v>
      </x:c>
      <x:c r="M10" s="26" t="n">
        <x:f>Supuestos!$B$12*(1-Supuestos!$B$13)</x:f>
        <x:v>2850000</x:v>
      </x:c>
    </x:row>
    <x:row r="11">
      <x:c r="A11" t="str">
        <x:v>Ventas facturadas (COP)</x:v>
      </x:c>
      <x:c r="B11" s="26" t="n">
        <x:f>B9*B10</x:f>
        <x:v>6928053.6</x:v>
      </x:c>
      <x:c r="C11" s="26" t="n">
        <x:f>C9*C10</x:f>
        <x:v>7274456.279999999</x:v>
      </x:c>
      <x:c r="D11" s="26" t="n">
        <x:f>D9*D10</x:f>
        <x:v>7638179.0940000005</x:v>
      </x:c>
      <x:c r="E11" s="26" t="n">
        <x:f>E9*E10</x:f>
        <x:v>8020088.048699999</x:v>
      </x:c>
      <x:c r="F11" s="26" t="n">
        <x:f>F9*F10</x:f>
        <x:v>8421092.451134998</x:v>
      </x:c>
      <x:c r="G11" s="26" t="n">
        <x:f>G9*G10</x:f>
        <x:v>8550000</x:v>
      </x:c>
      <x:c r="H11" s="26" t="n">
        <x:f>H9*H10</x:f>
        <x:v>8550000</x:v>
      </x:c>
      <x:c r="I11" s="26" t="n">
        <x:f>I9*I10</x:f>
        <x:v>8550000</x:v>
      </x:c>
      <x:c r="J11" s="26" t="n">
        <x:f>J9*J10</x:f>
        <x:v>8550000</x:v>
      </x:c>
      <x:c r="K11" s="26" t="n">
        <x:f>K9*K10</x:f>
        <x:v>8550000</x:v>
      </x:c>
      <x:c r="L11" s="26" t="n">
        <x:f>L9*L10</x:f>
        <x:v>8550000</x:v>
      </x:c>
      <x:c r="M11" s="26" t="n">
        <x:f>M9*M10</x:f>
        <x:v>8550000</x:v>
      </x:c>
    </x:row>
    <x:row r="12">
      <x:c r="A12" t="str">
        <x:v>Anticipo cobrado (COP)</x:v>
      </x:c>
      <x:c r="B12" s="26" t="n">
        <x:f>B11*Supuestos!$B$14</x:f>
        <x:v>2771221.44</x:v>
      </x:c>
      <x:c r="C12" s="26" t="n">
        <x:f>C11*Supuestos!$B$14</x:f>
        <x:v>2909782.512</x:v>
      </x:c>
      <x:c r="D12" s="26" t="n">
        <x:f>D11*Supuestos!$B$14</x:f>
        <x:v>3055271.6376000005</x:v>
      </x:c>
      <x:c r="E12" s="26" t="n">
        <x:f>E11*Supuestos!$B$14</x:f>
        <x:v>3208035.21948</x:v>
      </x:c>
      <x:c r="F12" s="26" t="n">
        <x:f>F11*Supuestos!$B$14</x:f>
        <x:v>3368436.9804539997</x:v>
      </x:c>
      <x:c r="G12" s="26" t="n">
        <x:f>G11*Supuestos!$B$14</x:f>
        <x:v>3420000</x:v>
      </x:c>
      <x:c r="H12" s="26" t="n">
        <x:f>H11*Supuestos!$B$14</x:f>
        <x:v>3420000</x:v>
      </x:c>
      <x:c r="I12" s="26" t="n">
        <x:f>I11*Supuestos!$B$14</x:f>
        <x:v>3420000</x:v>
      </x:c>
      <x:c r="J12" s="26" t="n">
        <x:f>J11*Supuestos!$B$14</x:f>
        <x:v>3420000</x:v>
      </x:c>
      <x:c r="K12" s="26" t="n">
        <x:f>K11*Supuestos!$B$14</x:f>
        <x:v>3420000</x:v>
      </x:c>
      <x:c r="L12" s="26" t="n">
        <x:f>L11*Supuestos!$B$14</x:f>
        <x:v>3420000</x:v>
      </x:c>
      <x:c r="M12" s="26" t="n">
        <x:f>M11*Supuestos!$B$14</x:f>
        <x:v>3420000</x:v>
      </x:c>
    </x:row>
    <x:row r="13">
      <x:c r="A13" t="str">
        <x:v>Saldo diferido originado (COP)</x:v>
      </x:c>
      <x:c r="B13" s="26" t="n">
        <x:f>B11-B12</x:f>
        <x:v>4156832.1599999997</x:v>
      </x:c>
      <x:c r="C13" s="26" t="n">
        <x:f>C11-C12</x:f>
        <x:v>4364673.767999999</x:v>
      </x:c>
      <x:c r="D13" s="26" t="n">
        <x:f>D11-D12</x:f>
        <x:v>4582907.4564</x:v>
      </x:c>
      <x:c r="E13" s="26" t="n">
        <x:f>E11-E12</x:f>
        <x:v>4812052.829219999</x:v>
      </x:c>
      <x:c r="F13" s="26" t="n">
        <x:f>F11-F12</x:f>
        <x:v>5052655.470680999</x:v>
      </x:c>
      <x:c r="G13" s="26" t="n">
        <x:f>G11-G12</x:f>
        <x:v>5130000</x:v>
      </x:c>
      <x:c r="H13" s="26" t="n">
        <x:f>H11-H12</x:f>
        <x:v>5130000</x:v>
      </x:c>
      <x:c r="I13" s="26" t="n">
        <x:f>I11-I12</x:f>
        <x:v>5130000</x:v>
      </x:c>
      <x:c r="J13" s="26" t="n">
        <x:f>J11-J12</x:f>
        <x:v>5130000</x:v>
      </x:c>
      <x:c r="K13" s="26" t="n">
        <x:f>K11-K12</x:f>
        <x:v>5130000</x:v>
      </x:c>
      <x:c r="L13" s="26" t="n">
        <x:f>L11-L12</x:f>
        <x:v>5130000</x:v>
      </x:c>
      <x:c r="M13" s="26" t="n">
        <x:f>M11-M12</x:f>
        <x:v>5130000</x:v>
      </x:c>
    </x:row>
    <x:row r="15">
      <x:c r="A15" t="str">
        <x:v>Atención: son contratos esperados (fracciones estadísticas), no clientes fraccionados. El exceso sobre capacidad no se factura en este modelo simplificado.</x:v>
      </x:c>
    </x:row>
  </x:sheetData>
  <x:mergeCells>
    <x:mergeCell ref="A1:M1"/>
    <x:mergeCell ref="A15:M15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7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</x:cols>
  <x:sheetData>
    <x:row r="1" ht="34" customHeight="1">
      <x:c r="A1" s="3" t="str">
        <x:v>03 · PUENTE VENTAS → RECAUDOS → CAJA → RUNWAY</x:v>
      </x:c>
    </x:row>
    <x:row r="3" ht="26" customHeight="1">
      <x:c r="A3" s="12" t="str">
        <x:v>Concepto</x:v>
      </x:c>
      <x:c r="B3" s="12" t="str">
        <x:v>Mes 1</x:v>
      </x:c>
      <x:c r="C3" s="12" t="str">
        <x:v>Mes 2</x:v>
      </x:c>
      <x:c r="D3" s="12" t="str">
        <x:v>Mes 3</x:v>
      </x:c>
      <x:c r="E3" s="12" t="str">
        <x:v>Mes 4</x:v>
      </x:c>
      <x:c r="F3" s="12" t="str">
        <x:v>Mes 5</x:v>
      </x:c>
      <x:c r="G3" s="12" t="str">
        <x:v>Mes 6</x:v>
      </x:c>
      <x:c r="H3" s="12" t="str">
        <x:v>Mes 7</x:v>
      </x:c>
      <x:c r="I3" s="12" t="str">
        <x:v>Mes 8</x:v>
      </x:c>
      <x:c r="J3" s="12" t="str">
        <x:v>Mes 9</x:v>
      </x:c>
      <x:c r="K3" s="12" t="str">
        <x:v>Mes 10</x:v>
      </x:c>
      <x:c r="L3" s="12" t="str">
        <x:v>Mes 11</x:v>
      </x:c>
      <x:c r="M3" s="12" t="str">
        <x:v>Mes 12</x:v>
      </x:c>
    </x:row>
    <x:row r="4">
      <x:c r="A4" t="str">
        <x:v>Facturación</x:v>
      </x:c>
      <x:c r="B4" s="26" t="n">
        <x:f>'Pipeline 12M'!B11</x:f>
        <x:v>6928053.6</x:v>
      </x:c>
      <x:c r="C4" s="26" t="n">
        <x:f>'Pipeline 12M'!C11</x:f>
        <x:v>7274456.279999999</x:v>
      </x:c>
      <x:c r="D4" s="26" t="n">
        <x:f>'Pipeline 12M'!D11</x:f>
        <x:v>7638179.0940000005</x:v>
      </x:c>
      <x:c r="E4" s="26" t="n">
        <x:f>'Pipeline 12M'!E11</x:f>
        <x:v>8020088.048699999</x:v>
      </x:c>
      <x:c r="F4" s="26" t="n">
        <x:f>'Pipeline 12M'!F11</x:f>
        <x:v>8421092.451134998</x:v>
      </x:c>
      <x:c r="G4" s="26" t="n">
        <x:f>'Pipeline 12M'!G11</x:f>
        <x:v>8550000</x:v>
      </x:c>
      <x:c r="H4" s="26" t="n">
        <x:f>'Pipeline 12M'!H11</x:f>
        <x:v>8550000</x:v>
      </x:c>
      <x:c r="I4" s="26" t="n">
        <x:f>'Pipeline 12M'!I11</x:f>
        <x:v>8550000</x:v>
      </x:c>
      <x:c r="J4" s="26" t="n">
        <x:f>'Pipeline 12M'!J11</x:f>
        <x:v>8550000</x:v>
      </x:c>
      <x:c r="K4" s="26" t="n">
        <x:f>'Pipeline 12M'!K11</x:f>
        <x:v>8550000</x:v>
      </x:c>
      <x:c r="L4" s="26" t="n">
        <x:f>'Pipeline 12M'!L11</x:f>
        <x:v>8550000</x:v>
      </x:c>
      <x:c r="M4" s="26" t="n">
        <x:f>'Pipeline 12M'!M11</x:f>
        <x:v>8550000</x:v>
      </x:c>
    </x:row>
    <x:row r="5">
      <x:c r="A5" t="str">
        <x:v>Anticipos del mes</x:v>
      </x:c>
      <x:c r="B5" s="26" t="n">
        <x:f>'Pipeline 12M'!B12</x:f>
        <x:v>2771221.44</x:v>
      </x:c>
      <x:c r="C5" s="26" t="n">
        <x:f>'Pipeline 12M'!C12</x:f>
        <x:v>2909782.512</x:v>
      </x:c>
      <x:c r="D5" s="26" t="n">
        <x:f>'Pipeline 12M'!D12</x:f>
        <x:v>3055271.6376000005</x:v>
      </x:c>
      <x:c r="E5" s="26" t="n">
        <x:f>'Pipeline 12M'!E12</x:f>
        <x:v>3208035.21948</x:v>
      </x:c>
      <x:c r="F5" s="26" t="n">
        <x:f>'Pipeline 12M'!F12</x:f>
        <x:v>3368436.9804539997</x:v>
      </x:c>
      <x:c r="G5" s="26" t="n">
        <x:f>'Pipeline 12M'!G12</x:f>
        <x:v>3420000</x:v>
      </x:c>
      <x:c r="H5" s="26" t="n">
        <x:f>'Pipeline 12M'!H12</x:f>
        <x:v>3420000</x:v>
      </x:c>
      <x:c r="I5" s="26" t="n">
        <x:f>'Pipeline 12M'!I12</x:f>
        <x:v>3420000</x:v>
      </x:c>
      <x:c r="J5" s="26" t="n">
        <x:f>'Pipeline 12M'!J12</x:f>
        <x:v>3420000</x:v>
      </x:c>
      <x:c r="K5" s="26" t="n">
        <x:f>'Pipeline 12M'!K12</x:f>
        <x:v>3420000</x:v>
      </x:c>
      <x:c r="L5" s="26" t="n">
        <x:f>'Pipeline 12M'!L12</x:f>
        <x:v>3420000</x:v>
      </x:c>
      <x:c r="M5" s="26" t="n">
        <x:f>'Pipeline 12M'!M12</x:f>
        <x:v>3420000</x:v>
      </x:c>
    </x:row>
    <x:row r="6">
      <x:c r="A6" t="str">
        <x:v>Saldo cobrado de meses anteriores</x:v>
      </x:c>
      <x:c r="B6" s="26" t="n">
        <x:f>IF(1&lt;=Supuestos!$B$15,0,INDEX('Pipeline 12M'!$B$13:$M$13,1,1-Supuestos!$B$15)*(1-Supuestos!$B$16))</x:f>
        <x:v>0</x:v>
      </x:c>
      <x:c r="C6" s="26" t="n">
        <x:f>IF(2&lt;=Supuestos!$B$15,0,INDEX('Pipeline 12M'!$B$13:$M$13,1,2-Supuestos!$B$15)*(1-Supuestos!$B$16))</x:f>
        <x:v>4073695.5167999994</x:v>
      </x:c>
      <x:c r="D6" s="26" t="n">
        <x:f>IF(3&lt;=Supuestos!$B$15,0,INDEX('Pipeline 12M'!$B$13:$M$13,1,3-Supuestos!$B$15)*(1-Supuestos!$B$16))</x:f>
        <x:v>4277380.292639999</x:v>
      </x:c>
      <x:c r="E6" s="26" t="n">
        <x:f>IF(4&lt;=Supuestos!$B$15,0,INDEX('Pipeline 12M'!$B$13:$M$13,1,4-Supuestos!$B$15)*(1-Supuestos!$B$16))</x:f>
        <x:v>4491249.307271999</x:v>
      </x:c>
      <x:c r="F6" s="26" t="n">
        <x:f>IF(5&lt;=Supuestos!$B$15,0,INDEX('Pipeline 12M'!$B$13:$M$13,1,5-Supuestos!$B$15)*(1-Supuestos!$B$16))</x:f>
        <x:v>4715811.772635599</x:v>
      </x:c>
      <x:c r="G6" s="26" t="n">
        <x:f>IF(6&lt;=Supuestos!$B$15,0,INDEX('Pipeline 12M'!$B$13:$M$13,1,6-Supuestos!$B$15)*(1-Supuestos!$B$16))</x:f>
        <x:v>4951602.361267379</x:v>
      </x:c>
      <x:c r="H6" s="26" t="n">
        <x:f>IF(7&lt;=Supuestos!$B$15,0,INDEX('Pipeline 12M'!$B$13:$M$13,1,7-Supuestos!$B$15)*(1-Supuestos!$B$16))</x:f>
        <x:v>5027400</x:v>
      </x:c>
      <x:c r="I6" s="26" t="n">
        <x:f>IF(8&lt;=Supuestos!$B$15,0,INDEX('Pipeline 12M'!$B$13:$M$13,1,8-Supuestos!$B$15)*(1-Supuestos!$B$16))</x:f>
        <x:v>5027400</x:v>
      </x:c>
      <x:c r="J6" s="26" t="n">
        <x:f>IF(9&lt;=Supuestos!$B$15,0,INDEX('Pipeline 12M'!$B$13:$M$13,1,9-Supuestos!$B$15)*(1-Supuestos!$B$16))</x:f>
        <x:v>5027400</x:v>
      </x:c>
      <x:c r="K6" s="26" t="n">
        <x:f>IF(10&lt;=Supuestos!$B$15,0,INDEX('Pipeline 12M'!$B$13:$M$13,1,10-Supuestos!$B$15)*(1-Supuestos!$B$16))</x:f>
        <x:v>5027400</x:v>
      </x:c>
      <x:c r="L6" s="26" t="n">
        <x:f>IF(11&lt;=Supuestos!$B$15,0,INDEX('Pipeline 12M'!$B$13:$M$13,1,11-Supuestos!$B$15)*(1-Supuestos!$B$16))</x:f>
        <x:v>5027400</x:v>
      </x:c>
      <x:c r="M6" s="26" t="n">
        <x:f>IF(12&lt;=Supuestos!$B$15,0,INDEX('Pipeline 12M'!$B$13:$M$13,1,12-Supuestos!$B$15)*(1-Supuestos!$B$16))</x:f>
        <x:v>5027400</x:v>
      </x:c>
    </x:row>
    <x:row r="7">
      <x:c r="A7" t="str">
        <x:v>Total recaudos</x:v>
      </x:c>
      <x:c r="B7" s="26" t="n">
        <x:f>SUM(B5:B6)</x:f>
        <x:v>2771221.44</x:v>
      </x:c>
      <x:c r="C7" s="26" t="n">
        <x:f>SUM(C5:C6)</x:f>
        <x:v>6983478.0287999995</x:v>
      </x:c>
      <x:c r="D7" s="26" t="n">
        <x:f>SUM(D5:D6)</x:f>
        <x:v>7332651.93024</x:v>
      </x:c>
      <x:c r="E7" s="26" t="n">
        <x:f>SUM(E5:E6)</x:f>
        <x:v>7699284.526751999</x:v>
      </x:c>
      <x:c r="F7" s="26" t="n">
        <x:f>SUM(F5:F6)</x:f>
        <x:v>8084248.753089598</x:v>
      </x:c>
      <x:c r="G7" s="26" t="n">
        <x:f>SUM(G5:G6)</x:f>
        <x:v>8371602.361267379</x:v>
      </x:c>
      <x:c r="H7" s="26" t="n">
        <x:f>SUM(H5:H6)</x:f>
        <x:v>8447400</x:v>
      </x:c>
      <x:c r="I7" s="26" t="n">
        <x:f>SUM(I5:I6)</x:f>
        <x:v>8447400</x:v>
      </x:c>
      <x:c r="J7" s="26" t="n">
        <x:f>SUM(J5:J6)</x:f>
        <x:v>8447400</x:v>
      </x:c>
      <x:c r="K7" s="26" t="n">
        <x:f>SUM(K5:K6)</x:f>
        <x:v>8447400</x:v>
      </x:c>
      <x:c r="L7" s="26" t="n">
        <x:f>SUM(L5:L6)</x:f>
        <x:v>8447400</x:v>
      </x:c>
      <x:c r="M7" s="26" t="n">
        <x:f>SUM(M5:M6)</x:f>
        <x:v>8447400</x:v>
      </x:c>
    </x:row>
    <x:row r="8">
      <x:c r="A8" t="str">
        <x:v>Costo variable + IA</x:v>
      </x:c>
      <x:c r="B8" s="26" t="n">
        <x:f>B4*Supuestos!$B$17+'Pipeline 12M'!B9*Supuestos!$B$18</x:f>
        <x:v>1233679.72</x:v>
      </x:c>
      <x:c r="C8" s="26" t="n">
        <x:f>C4*Supuestos!$B$17+'Pipeline 12M'!C9*Supuestos!$B$18</x:f>
        <x:v>1295363.7059999998</x:v>
      </x:c>
      <x:c r="D8" s="26" t="n">
        <x:f>D4*Supuestos!$B$17+'Pipeline 12M'!D9*Supuestos!$B$18</x:f>
        <x:v>1360131.8913000003</x:v>
      </x:c>
      <x:c r="E8" s="26" t="n">
        <x:f>E4*Supuestos!$B$17+'Pipeline 12M'!E9*Supuestos!$B$18</x:f>
        <x:v>1428138.485865</x:v>
      </x:c>
      <x:c r="F8" s="26" t="n">
        <x:f>F4*Supuestos!$B$17+'Pipeline 12M'!F9*Supuestos!$B$18</x:f>
        <x:v>1499545.4101582495</x:v>
      </x:c>
      <x:c r="G8" s="26" t="n">
        <x:f>G4*Supuestos!$B$17+'Pipeline 12M'!G9*Supuestos!$B$18</x:f>
        <x:v>1522500</x:v>
      </x:c>
      <x:c r="H8" s="26" t="n">
        <x:f>H4*Supuestos!$B$17+'Pipeline 12M'!H9*Supuestos!$B$18</x:f>
        <x:v>1522500</x:v>
      </x:c>
      <x:c r="I8" s="26" t="n">
        <x:f>I4*Supuestos!$B$17+'Pipeline 12M'!I9*Supuestos!$B$18</x:f>
        <x:v>1522500</x:v>
      </x:c>
      <x:c r="J8" s="26" t="n">
        <x:f>J4*Supuestos!$B$17+'Pipeline 12M'!J9*Supuestos!$B$18</x:f>
        <x:v>1522500</x:v>
      </x:c>
      <x:c r="K8" s="26" t="n">
        <x:f>K4*Supuestos!$B$17+'Pipeline 12M'!K9*Supuestos!$B$18</x:f>
        <x:v>1522500</x:v>
      </x:c>
      <x:c r="L8" s="26" t="n">
        <x:f>L4*Supuestos!$B$17+'Pipeline 12M'!L9*Supuestos!$B$18</x:f>
        <x:v>1522500</x:v>
      </x:c>
      <x:c r="M8" s="26" t="n">
        <x:f>M4*Supuestos!$B$17+'Pipeline 12M'!M9*Supuestos!$B$18</x:f>
        <x:v>1522500</x:v>
      </x:c>
    </x:row>
    <x:row r="9">
      <x:c r="A9" t="str">
        <x:v>Gastos fijos + marketing + software</x:v>
      </x:c>
      <x:c r="B9" s="26" t="n">
        <x:f>SUM(Supuestos!$B$19:$B$21)</x:f>
        <x:v>2230000</x:v>
      </x:c>
      <x:c r="C9" s="26" t="n">
        <x:f>SUM(Supuestos!$B$19:$B$21)</x:f>
        <x:v>2230000</x:v>
      </x:c>
      <x:c r="D9" s="26" t="n">
        <x:f>SUM(Supuestos!$B$19:$B$21)</x:f>
        <x:v>2230000</x:v>
      </x:c>
      <x:c r="E9" s="26" t="n">
        <x:f>SUM(Supuestos!$B$19:$B$21)</x:f>
        <x:v>2230000</x:v>
      </x:c>
      <x:c r="F9" s="26" t="n">
        <x:f>SUM(Supuestos!$B$19:$B$21)</x:f>
        <x:v>2230000</x:v>
      </x:c>
      <x:c r="G9" s="26" t="n">
        <x:f>SUM(Supuestos!$B$19:$B$21)</x:f>
        <x:v>2230000</x:v>
      </x:c>
      <x:c r="H9" s="26" t="n">
        <x:f>SUM(Supuestos!$B$19:$B$21)</x:f>
        <x:v>2230000</x:v>
      </x:c>
      <x:c r="I9" s="26" t="n">
        <x:f>SUM(Supuestos!$B$19:$B$21)</x:f>
        <x:v>2230000</x:v>
      </x:c>
      <x:c r="J9" s="26" t="n">
        <x:f>SUM(Supuestos!$B$19:$B$21)</x:f>
        <x:v>2230000</x:v>
      </x:c>
      <x:c r="K9" s="26" t="n">
        <x:f>SUM(Supuestos!$B$19:$B$21)</x:f>
        <x:v>2230000</x:v>
      </x:c>
      <x:c r="L9" s="26" t="n">
        <x:f>SUM(Supuestos!$B$19:$B$21)</x:f>
        <x:v>2230000</x:v>
      </x:c>
      <x:c r="M9" s="26" t="n">
        <x:f>SUM(Supuestos!$B$19:$B$21)</x:f>
        <x:v>2230000</x:v>
      </x:c>
    </x:row>
    <x:row r="10">
      <x:c r="A10" t="str">
        <x:v>Aportes + retiro fundador</x:v>
      </x:c>
      <x:c r="B10" s="26" t="n">
        <x:f>SUM(Supuestos!$B$22:$B$23)</x:f>
        <x:v>2850000</x:v>
      </x:c>
      <x:c r="C10" s="26" t="n">
        <x:f>SUM(Supuestos!$B$22:$B$23)</x:f>
        <x:v>2850000</x:v>
      </x:c>
      <x:c r="D10" s="26" t="n">
        <x:f>SUM(Supuestos!$B$22:$B$23)</x:f>
        <x:v>2850000</x:v>
      </x:c>
      <x:c r="E10" s="26" t="n">
        <x:f>SUM(Supuestos!$B$22:$B$23)</x:f>
        <x:v>2850000</x:v>
      </x:c>
      <x:c r="F10" s="26" t="n">
        <x:f>SUM(Supuestos!$B$22:$B$23)</x:f>
        <x:v>2850000</x:v>
      </x:c>
      <x:c r="G10" s="26" t="n">
        <x:f>SUM(Supuestos!$B$22:$B$23)</x:f>
        <x:v>2850000</x:v>
      </x:c>
      <x:c r="H10" s="26" t="n">
        <x:f>SUM(Supuestos!$B$22:$B$23)</x:f>
        <x:v>2850000</x:v>
      </x:c>
      <x:c r="I10" s="26" t="n">
        <x:f>SUM(Supuestos!$B$22:$B$23)</x:f>
        <x:v>2850000</x:v>
      </x:c>
      <x:c r="J10" s="26" t="n">
        <x:f>SUM(Supuestos!$B$22:$B$23)</x:f>
        <x:v>2850000</x:v>
      </x:c>
      <x:c r="K10" s="26" t="n">
        <x:f>SUM(Supuestos!$B$22:$B$23)</x:f>
        <x:v>2850000</x:v>
      </x:c>
      <x:c r="L10" s="26" t="n">
        <x:f>SUM(Supuestos!$B$22:$B$23)</x:f>
        <x:v>2850000</x:v>
      </x:c>
      <x:c r="M10" s="26" t="n">
        <x:f>SUM(Supuestos!$B$22:$B$23)</x:f>
        <x:v>2850000</x:v>
      </x:c>
    </x:row>
    <x:row r="11">
      <x:c r="A11" t="str">
        <x:v>Reserva tributaria</x:v>
      </x:c>
      <x:c r="B11" s="26" t="n">
        <x:f>B4*Supuestos!$B$24</x:f>
        <x:v>554244.288</x:v>
      </x:c>
      <x:c r="C11" s="26" t="n">
        <x:f>C4*Supuestos!$B$24</x:f>
        <x:v>581956.5024</x:v>
      </x:c>
      <x:c r="D11" s="26" t="n">
        <x:f>D4*Supuestos!$B$24</x:f>
        <x:v>611054.32752</x:v>
      </x:c>
      <x:c r="E11" s="26" t="n">
        <x:f>E4*Supuestos!$B$24</x:f>
        <x:v>641607.0438959999</x:v>
      </x:c>
      <x:c r="F11" s="26" t="n">
        <x:f>F4*Supuestos!$B$24</x:f>
        <x:v>673687.3960907998</x:v>
      </x:c>
      <x:c r="G11" s="26" t="n">
        <x:f>G4*Supuestos!$B$24</x:f>
        <x:v>684000</x:v>
      </x:c>
      <x:c r="H11" s="26" t="n">
        <x:f>H4*Supuestos!$B$24</x:f>
        <x:v>684000</x:v>
      </x:c>
      <x:c r="I11" s="26" t="n">
        <x:f>I4*Supuestos!$B$24</x:f>
        <x:v>684000</x:v>
      </x:c>
      <x:c r="J11" s="26" t="n">
        <x:f>J4*Supuestos!$B$24</x:f>
        <x:v>684000</x:v>
      </x:c>
      <x:c r="K11" s="26" t="n">
        <x:f>K4*Supuestos!$B$24</x:f>
        <x:v>684000</x:v>
      </x:c>
      <x:c r="L11" s="26" t="n">
        <x:f>L4*Supuestos!$B$24</x:f>
        <x:v>684000</x:v>
      </x:c>
      <x:c r="M11" s="26" t="n">
        <x:f>M4*Supuestos!$B$24</x:f>
        <x:v>684000</x:v>
      </x:c>
    </x:row>
    <x:row r="12">
      <x:c r="A12" t="str">
        <x:v>Formalización mensual</x:v>
      </x:c>
      <x:c r="B12" s="26" t="n">
        <x:f>Supuestos!$B$26</x:f>
        <x:v>55000</x:v>
      </x:c>
      <x:c r="C12" s="26" t="n">
        <x:f>Supuestos!$B$26</x:f>
        <x:v>55000</x:v>
      </x:c>
      <x:c r="D12" s="26" t="n">
        <x:f>Supuestos!$B$26</x:f>
        <x:v>55000</x:v>
      </x:c>
      <x:c r="E12" s="26" t="n">
        <x:f>Supuestos!$B$26</x:f>
        <x:v>55000</x:v>
      </x:c>
      <x:c r="F12" s="26" t="n">
        <x:f>Supuestos!$B$26</x:f>
        <x:v>55000</x:v>
      </x:c>
      <x:c r="G12" s="26" t="n">
        <x:f>Supuestos!$B$26</x:f>
        <x:v>55000</x:v>
      </x:c>
      <x:c r="H12" s="26" t="n">
        <x:f>Supuestos!$B$26</x:f>
        <x:v>55000</x:v>
      </x:c>
      <x:c r="I12" s="26" t="n">
        <x:f>Supuestos!$B$26</x:f>
        <x:v>55000</x:v>
      </x:c>
      <x:c r="J12" s="26" t="n">
        <x:f>Supuestos!$B$26</x:f>
        <x:v>55000</x:v>
      </x:c>
      <x:c r="K12" s="26" t="n">
        <x:f>Supuestos!$B$26</x:f>
        <x:v>55000</x:v>
      </x:c>
      <x:c r="L12" s="26" t="n">
        <x:f>Supuestos!$B$26</x:f>
        <x:v>55000</x:v>
      </x:c>
      <x:c r="M12" s="26" t="n">
        <x:f>Supuestos!$B$26</x:f>
        <x:v>55000</x:v>
      </x:c>
    </x:row>
    <x:row r="13">
      <x:c r="A13" t="str">
        <x:v>Total pagos y reservas</x:v>
      </x:c>
      <x:c r="B13" s="26" t="n">
        <x:f>SUM(B8:B12)</x:f>
        <x:v>6922924.007999999</x:v>
      </x:c>
      <x:c r="C13" s="26" t="n">
        <x:f>SUM(C8:C12)</x:f>
        <x:v>7012320.2084</x:v>
      </x:c>
      <x:c r="D13" s="26" t="n">
        <x:f>SUM(D8:D12)</x:f>
        <x:v>7106186.21882</x:v>
      </x:c>
      <x:c r="E13" s="26" t="n">
        <x:f>SUM(E8:E12)</x:f>
        <x:v>7204745.529761</x:v>
      </x:c>
      <x:c r="F13" s="26" t="n">
        <x:f>SUM(F8:F12)</x:f>
        <x:v>7308232.8062490495</x:v>
      </x:c>
      <x:c r="G13" s="26" t="n">
        <x:f>SUM(G8:G12)</x:f>
        <x:v>7341500</x:v>
      </x:c>
      <x:c r="H13" s="26" t="n">
        <x:f>SUM(H8:H12)</x:f>
        <x:v>7341500</x:v>
      </x:c>
      <x:c r="I13" s="26" t="n">
        <x:f>SUM(I8:I12)</x:f>
        <x:v>7341500</x:v>
      </x:c>
      <x:c r="J13" s="26" t="n">
        <x:f>SUM(J8:J12)</x:f>
        <x:v>7341500</x:v>
      </x:c>
      <x:c r="K13" s="26" t="n">
        <x:f>SUM(K8:K12)</x:f>
        <x:v>7341500</x:v>
      </x:c>
      <x:c r="L13" s="26" t="n">
        <x:f>SUM(L8:L12)</x:f>
        <x:v>7341500</x:v>
      </x:c>
      <x:c r="M13" s="26" t="n">
        <x:f>SUM(M8:M12)</x:f>
        <x:v>7341500</x:v>
      </x:c>
    </x:row>
    <x:row r="14">
      <x:c r="A14" t="str">
        <x:v>Flujo neto mensual</x:v>
      </x:c>
      <x:c r="B14" s="26" t="n">
        <x:f>B7-B13</x:f>
        <x:v>-4151702.5679999995</x:v>
      </x:c>
      <x:c r="C14" s="26" t="n">
        <x:f>C7-C13</x:f>
        <x:v>-28842.17960000038</x:v>
      </x:c>
      <x:c r="D14" s="26" t="n">
        <x:f>D7-D13</x:f>
        <x:v>226465.7114199996</x:v>
      </x:c>
      <x:c r="E14" s="26" t="n">
        <x:f>E7-E13</x:f>
        <x:v>494538.9969909992</x:v>
      </x:c>
      <x:c r="F14" s="26" t="n">
        <x:f>F7-F13</x:f>
        <x:v>776015.9468405489</x:v>
      </x:c>
      <x:c r="G14" s="26" t="n">
        <x:f>G7-G13</x:f>
        <x:v>1030102.3612673786</x:v>
      </x:c>
      <x:c r="H14" s="26" t="n">
        <x:f>H7-H13</x:f>
        <x:v>1105900</x:v>
      </x:c>
      <x:c r="I14" s="26" t="n">
        <x:f>I7-I13</x:f>
        <x:v>1105900</x:v>
      </x:c>
      <x:c r="J14" s="26" t="n">
        <x:f>J7-J13</x:f>
        <x:v>1105900</x:v>
      </x:c>
      <x:c r="K14" s="26" t="n">
        <x:f>K7-K13</x:f>
        <x:v>1105900</x:v>
      </x:c>
      <x:c r="L14" s="26" t="n">
        <x:f>L7-L13</x:f>
        <x:v>1105900</x:v>
      </x:c>
      <x:c r="M14" s="26" t="n">
        <x:f>M7-M13</x:f>
        <x:v>1105900</x:v>
      </x:c>
    </x:row>
    <x:row r="15">
      <x:c r="A15" t="str">
        <x:v>Caja inicial del mes</x:v>
      </x:c>
      <x:c r="B15" s="26" t="n">
        <x:f>Supuestos!$B$4-Supuestos!$B$25</x:f>
        <x:v>10356910</x:v>
      </x:c>
      <x:c r="C15" s="26" t="n">
        <x:f>B16</x:f>
        <x:v>6205207.432</x:v>
      </x:c>
      <x:c r="D15" s="26" t="n">
        <x:f>C16</x:f>
        <x:v>6176365.2524</x:v>
      </x:c>
      <x:c r="E15" s="26" t="n">
        <x:f>D16</x:f>
        <x:v>6402830.963819999</x:v>
      </x:c>
      <x:c r="F15" s="26" t="n">
        <x:f>E16</x:f>
        <x:v>6897369.960810998</x:v>
      </x:c>
      <x:c r="G15" s="26" t="n">
        <x:f>F16</x:f>
        <x:v>7673385.907651547</x:v>
      </x:c>
      <x:c r="H15" s="26" t="n">
        <x:f>G16</x:f>
        <x:v>8703488.268918926</x:v>
      </x:c>
      <x:c r="I15" s="26" t="n">
        <x:f>H16</x:f>
        <x:v>9809388.268918926</x:v>
      </x:c>
      <x:c r="J15" s="26" t="n">
        <x:f>I16</x:f>
        <x:v>10915288.268918926</x:v>
      </x:c>
      <x:c r="K15" s="26" t="n">
        <x:f>J16</x:f>
        <x:v>12021188.268918926</x:v>
      </x:c>
      <x:c r="L15" s="26" t="n">
        <x:f>K16</x:f>
        <x:v>13127088.268918926</x:v>
      </x:c>
      <x:c r="M15" s="26" t="n">
        <x:f>L16</x:f>
        <x:v>14232988.268918926</x:v>
      </x:c>
    </x:row>
    <x:row r="16">
      <x:c r="A16" t="str">
        <x:v>Caja final del mes</x:v>
      </x:c>
      <x:c r="B16" s="26" t="n">
        <x:f>SUM(B14:B15)</x:f>
        <x:v>6205207.432</x:v>
      </x:c>
      <x:c r="C16" s="26" t="n">
        <x:f>SUM(C14:C15)</x:f>
        <x:v>6176365.2524</x:v>
      </x:c>
      <x:c r="D16" s="26" t="n">
        <x:f>SUM(D14:D15)</x:f>
        <x:v>6402830.963819999</x:v>
      </x:c>
      <x:c r="E16" s="26" t="n">
        <x:f>SUM(E14:E15)</x:f>
        <x:v>6897369.960810998</x:v>
      </x:c>
      <x:c r="F16" s="26" t="n">
        <x:f>SUM(F14:F15)</x:f>
        <x:v>7673385.907651547</x:v>
      </x:c>
      <x:c r="G16" s="26" t="n">
        <x:f>SUM(G14:G15)</x:f>
        <x:v>8703488.268918926</x:v>
      </x:c>
      <x:c r="H16" s="26" t="n">
        <x:f>SUM(H14:H15)</x:f>
        <x:v>9809388.268918926</x:v>
      </x:c>
      <x:c r="I16" s="26" t="n">
        <x:f>SUM(I14:I15)</x:f>
        <x:v>10915288.268918926</x:v>
      </x:c>
      <x:c r="J16" s="26" t="n">
        <x:f>SUM(J14:J15)</x:f>
        <x:v>12021188.268918926</x:v>
      </x:c>
      <x:c r="K16" s="26" t="n">
        <x:f>SUM(K14:K15)</x:f>
        <x:v>13127088.268918926</x:v>
      </x:c>
      <x:c r="L16" s="26" t="n">
        <x:f>SUM(L14:L15)</x:f>
        <x:v>14232988.268918926</x:v>
      </x:c>
      <x:c r="M16" s="26" t="n">
        <x:f>SUM(M14:M15)</x:f>
        <x:v>15338888.268918926</x:v>
      </x:c>
    </x:row>
    <x:row r="17">
      <x:c r="A17" t="str">
        <x:v>Reserva mínima</x:v>
      </x:c>
      <x:c r="B17" s="26" t="n">
        <x:f>Supuestos!$B$5</x:f>
        <x:v>2000000</x:v>
      </x:c>
      <x:c r="C17" s="26" t="n">
        <x:f>Supuestos!$B$5</x:f>
        <x:v>2000000</x:v>
      </x:c>
      <x:c r="D17" s="26" t="n">
        <x:f>Supuestos!$B$5</x:f>
        <x:v>2000000</x:v>
      </x:c>
      <x:c r="E17" s="26" t="n">
        <x:f>Supuestos!$B$5</x:f>
        <x:v>2000000</x:v>
      </x:c>
      <x:c r="F17" s="26" t="n">
        <x:f>Supuestos!$B$5</x:f>
        <x:v>2000000</x:v>
      </x:c>
      <x:c r="G17" s="26" t="n">
        <x:f>Supuestos!$B$5</x:f>
        <x:v>2000000</x:v>
      </x:c>
      <x:c r="H17" s="26" t="n">
        <x:f>Supuestos!$B$5</x:f>
        <x:v>2000000</x:v>
      </x:c>
      <x:c r="I17" s="26" t="n">
        <x:f>Supuestos!$B$5</x:f>
        <x:v>2000000</x:v>
      </x:c>
      <x:c r="J17" s="26" t="n">
        <x:f>Supuestos!$B$5</x:f>
        <x:v>2000000</x:v>
      </x:c>
      <x:c r="K17" s="26" t="n">
        <x:f>Supuestos!$B$5</x:f>
        <x:v>2000000</x:v>
      </x:c>
      <x:c r="L17" s="26" t="n">
        <x:f>Supuestos!$B$5</x:f>
        <x:v>2000000</x:v>
      </x:c>
      <x:c r="M17" s="26" t="n">
        <x:f>Supuestos!$B$5</x:f>
        <x:v>2000000</x:v>
      </x:c>
    </x:row>
    <x:row r="18">
      <x:c r="A18" t="str">
        <x:v>Excedente sobre reserva</x:v>
      </x:c>
      <x:c r="B18" s="26" t="n">
        <x:f>B16-B17</x:f>
        <x:v>4205207.432</x:v>
      </x:c>
      <x:c r="C18" s="26" t="n">
        <x:f>C16-C17</x:f>
        <x:v>4176365.2523999996</x:v>
      </x:c>
      <x:c r="D18" s="26" t="n">
        <x:f>D16-D17</x:f>
        <x:v>4402830.963819999</x:v>
      </x:c>
      <x:c r="E18" s="26" t="n">
        <x:f>E16-E17</x:f>
        <x:v>4897369.960810998</x:v>
      </x:c>
      <x:c r="F18" s="26" t="n">
        <x:f>F16-F17</x:f>
        <x:v>5673385.907651547</x:v>
      </x:c>
      <x:c r="G18" s="26" t="n">
        <x:f>G16-G17</x:f>
        <x:v>6703488.268918926</x:v>
      </x:c>
      <x:c r="H18" s="26" t="n">
        <x:f>H16-H17</x:f>
        <x:v>7809388.268918926</x:v>
      </x:c>
      <x:c r="I18" s="26" t="n">
        <x:f>I16-I17</x:f>
        <x:v>8915288.268918926</x:v>
      </x:c>
      <x:c r="J18" s="26" t="n">
        <x:f>J16-J17</x:f>
        <x:v>10021188.268918926</x:v>
      </x:c>
      <x:c r="K18" s="26" t="n">
        <x:f>K16-K17</x:f>
        <x:v>11127088.268918926</x:v>
      </x:c>
      <x:c r="L18" s="26" t="n">
        <x:f>L16-L17</x:f>
        <x:v>12232988.268918926</x:v>
      </x:c>
      <x:c r="M18" s="26" t="n">
        <x:f>M16-M17</x:f>
        <x:v>13338888.268918926</x:v>
      </x:c>
    </x:row>
    <x:row r="19">
      <x:c r="A19" t="str">
        <x:v>Estado del mes</x:v>
      </x:c>
      <x:c r="B19" t="str">
        <x:f>IF(B18&lt;0,"ALERTA","OK")</x:f>
        <x:v>OK</x:v>
      </x:c>
      <x:c r="C19" t="str">
        <x:f>IF(C18&lt;0,"ALERTA","OK")</x:f>
        <x:v>OK</x:v>
      </x:c>
      <x:c r="D19" t="str">
        <x:f>IF(D18&lt;0,"ALERTA","OK")</x:f>
        <x:v>OK</x:v>
      </x:c>
      <x:c r="E19" t="str">
        <x:f>IF(E18&lt;0,"ALERTA","OK")</x:f>
        <x:v>OK</x:v>
      </x:c>
      <x:c r="F19" t="str">
        <x:f>IF(F18&lt;0,"ALERTA","OK")</x:f>
        <x:v>OK</x:v>
      </x:c>
      <x:c r="G19" t="str">
        <x:f>IF(G18&lt;0,"ALERTA","OK")</x:f>
        <x:v>OK</x:v>
      </x:c>
      <x:c r="H19" t="str">
        <x:f>IF(H18&lt;0,"ALERTA","OK")</x:f>
        <x:v>OK</x:v>
      </x:c>
      <x:c r="I19" t="str">
        <x:f>IF(I18&lt;0,"ALERTA","OK")</x:f>
        <x:v>OK</x:v>
      </x:c>
      <x:c r="J19" t="str">
        <x:f>IF(J18&lt;0,"ALERTA","OK")</x:f>
        <x:v>OK</x:v>
      </x:c>
      <x:c r="K19" t="str">
        <x:f>IF(K18&lt;0,"ALERTA","OK")</x:f>
        <x:v>OK</x:v>
      </x:c>
      <x:c r="L19" t="str">
        <x:f>IF(L18&lt;0,"ALERTA","OK")</x:f>
        <x:v>OK</x:v>
      </x:c>
      <x:c r="M19" t="str">
        <x:f>IF(M18&lt;0,"ALERTA","OK")</x:f>
        <x:v>OK</x:v>
      </x:c>
    </x:row>
    <x:row r="20">
      <x:c r="A20" t="str">
        <x:v>Saldo de cartera pendiente*</x:v>
      </x:c>
      <x:c r="B20" s="26" t="n">
        <x:f>SUM('Pipeline 12M'!$B$13:'Pipeline 12M'!B13)*(1-Supuestos!$B$16)-SUM($B6:B6)</x:f>
        <x:v>4073695.5167999994</x:v>
      </x:c>
      <x:c r="C20" s="26" t="n">
        <x:f>SUM('Pipeline 12M'!$B$13:'Pipeline 12M'!C13)*(1-Supuestos!$B$16)-SUM($B6:C6)</x:f>
        <x:v>4277380.29264</x:v>
      </x:c>
      <x:c r="D20" s="26" t="n">
        <x:f>SUM('Pipeline 12M'!$B$13:'Pipeline 12M'!D13)*(1-Supuestos!$B$16)-SUM($B6:D6)</x:f>
        <x:v>4491249.307272</x:v>
      </x:c>
      <x:c r="E20" s="26" t="n">
        <x:f>SUM('Pipeline 12M'!$B$13:'Pipeline 12M'!E13)*(1-Supuestos!$B$16)-SUM($B6:E6)</x:f>
        <x:v>4715811.772635601</x:v>
      </x:c>
      <x:c r="F20" s="26" t="n">
        <x:f>SUM('Pipeline 12M'!$B$13:'Pipeline 12M'!F13)*(1-Supuestos!$B$16)-SUM($B6:F6)</x:f>
        <x:v>4951602.36126738</x:v>
      </x:c>
      <x:c r="G20" s="26" t="n">
        <x:f>SUM('Pipeline 12M'!$B$13:'Pipeline 12M'!G13)*(1-Supuestos!$B$16)-SUM($B6:G6)</x:f>
        <x:v>5027400.000000004</x:v>
      </x:c>
      <x:c r="H20" s="26" t="n">
        <x:f>SUM('Pipeline 12M'!$B$13:'Pipeline 12M'!H13)*(1-Supuestos!$B$16)-SUM($B6:H6)</x:f>
        <x:v>5027400.000000004</x:v>
      </x:c>
      <x:c r="I20" s="26" t="n">
        <x:f>SUM('Pipeline 12M'!$B$13:'Pipeline 12M'!I13)*(1-Supuestos!$B$16)-SUM($B6:I6)</x:f>
        <x:v>5027400.000000007</x:v>
      </x:c>
      <x:c r="J20" s="26" t="n">
        <x:f>SUM('Pipeline 12M'!$B$13:'Pipeline 12M'!J13)*(1-Supuestos!$B$16)-SUM($B6:J6)</x:f>
        <x:v>5027400.000000007</x:v>
      </x:c>
      <x:c r="K20" s="26" t="n">
        <x:f>SUM('Pipeline 12M'!$B$13:'Pipeline 12M'!K13)*(1-Supuestos!$B$16)-SUM($B6:K6)</x:f>
        <x:v>5027400.000000007</x:v>
      </x:c>
      <x:c r="L20" s="26" t="n">
        <x:f>SUM('Pipeline 12M'!$B$13:'Pipeline 12M'!L13)*(1-Supuestos!$B$16)-SUM($B6:L6)</x:f>
        <x:v>5027400.000000007</x:v>
      </x:c>
      <x:c r="M20" s="26" t="n">
        <x:f>SUM('Pipeline 12M'!$B$13:'Pipeline 12M'!M13)*(1-Supuestos!$B$16)-SUM($B6:M6)</x:f>
        <x:v>5027400.000000007</x:v>
      </x:c>
    </x:row>
    <x:row r="22">
      <x:c r="A22" t="str">
        <x:v>*Cartera simplificada excluye la parte estimada incobrable. Formalización: mismos ingresos bajo dos estructuras; no se modela omisión de obligaciones.</x:v>
      </x:c>
    </x:row>
  </x:sheetData>
  <x:mergeCells>
    <x:mergeCell ref="A1:M1"/>
    <x:mergeCell ref="A22:M2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7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</x:cols>
  <x:sheetData>
    <x:row r="1" ht="34" customHeight="1">
      <x:c r="A1" s="3" t="str">
        <x:v>04 · FORMALIZACIÓN | Misma venta, distinta caja</x:v>
      </x:c>
    </x:row>
    <x:row r="3" ht="26" customHeight="1">
      <x:c r="A3" s="12" t="str">
        <x:v>Concepto</x:v>
      </x:c>
      <x:c r="B3" s="12" t="str">
        <x:v>Mes 1</x:v>
      </x:c>
      <x:c r="C3" s="12" t="str">
        <x:v>Mes 2</x:v>
      </x:c>
      <x:c r="D3" s="12" t="str">
        <x:v>Mes 3</x:v>
      </x:c>
      <x:c r="E3" s="12" t="str">
        <x:v>Mes 4</x:v>
      </x:c>
      <x:c r="F3" s="12" t="str">
        <x:v>Mes 5</x:v>
      </x:c>
      <x:c r="G3" s="12" t="str">
        <x:v>Mes 6</x:v>
      </x:c>
      <x:c r="H3" s="12" t="str">
        <x:v>Mes 7</x:v>
      </x:c>
      <x:c r="I3" s="12" t="str">
        <x:v>Mes 8</x:v>
      </x:c>
      <x:c r="J3" s="12" t="str">
        <x:v>Mes 9</x:v>
      </x:c>
      <x:c r="K3" s="12" t="str">
        <x:v>Mes 10</x:v>
      </x:c>
      <x:c r="L3" s="12" t="str">
        <x:v>Mes 11</x:v>
      </x:c>
      <x:c r="M3" s="12" t="str">
        <x:v>Mes 12</x:v>
      </x:c>
    </x:row>
    <x:row r="4">
      <x:c r="A4" t="str">
        <x:v>Facturación (ambos casos)</x:v>
      </x:c>
      <x:c r="B4" s="26" t="n">
        <x:f>'Caja y runway'!B4</x:f>
        <x:v>6928053.6</x:v>
      </x:c>
      <x:c r="C4" s="26" t="n">
        <x:f>'Caja y runway'!C4</x:f>
        <x:v>7274456.279999999</x:v>
      </x:c>
      <x:c r="D4" s="26" t="n">
        <x:f>'Caja y runway'!D4</x:f>
        <x:v>7638179.0940000005</x:v>
      </x:c>
      <x:c r="E4" s="26" t="n">
        <x:f>'Caja y runway'!E4</x:f>
        <x:v>8020088.048699999</x:v>
      </x:c>
      <x:c r="F4" s="26" t="n">
        <x:f>'Caja y runway'!F4</x:f>
        <x:v>8421092.451134998</x:v>
      </x:c>
      <x:c r="G4" s="26" t="n">
        <x:f>'Caja y runway'!G4</x:f>
        <x:v>8550000</x:v>
      </x:c>
      <x:c r="H4" s="26" t="n">
        <x:f>'Caja y runway'!H4</x:f>
        <x:v>8550000</x:v>
      </x:c>
      <x:c r="I4" s="26" t="n">
        <x:f>'Caja y runway'!I4</x:f>
        <x:v>8550000</x:v>
      </x:c>
      <x:c r="J4" s="26" t="n">
        <x:f>'Caja y runway'!J4</x:f>
        <x:v>8550000</x:v>
      </x:c>
      <x:c r="K4" s="26" t="n">
        <x:f>'Caja y runway'!K4</x:f>
        <x:v>8550000</x:v>
      </x:c>
      <x:c r="L4" s="26" t="n">
        <x:f>'Caja y runway'!L4</x:f>
        <x:v>8550000</x:v>
      </x:c>
      <x:c r="M4" s="26" t="n">
        <x:f>'Caja y runway'!M4</x:f>
        <x:v>8550000</x:v>
      </x:c>
    </x:row>
    <x:row r="5">
      <x:c r="A5" t="str">
        <x:v>Recaudos (ambos casos)</x:v>
      </x:c>
      <x:c r="B5" s="26" t="n">
        <x:f>'Caja y runway'!B7</x:f>
        <x:v>2771221.44</x:v>
      </x:c>
      <x:c r="C5" s="26" t="n">
        <x:f>'Caja y runway'!C7</x:f>
        <x:v>6983478.0287999995</x:v>
      </x:c>
      <x:c r="D5" s="26" t="n">
        <x:f>'Caja y runway'!D7</x:f>
        <x:v>7332651.93024</x:v>
      </x:c>
      <x:c r="E5" s="26" t="n">
        <x:f>'Caja y runway'!E7</x:f>
        <x:v>7699284.526751999</x:v>
      </x:c>
      <x:c r="F5" s="26" t="n">
        <x:f>'Caja y runway'!F7</x:f>
        <x:v>8084248.753089598</x:v>
      </x:c>
      <x:c r="G5" s="26" t="n">
        <x:f>'Caja y runway'!G7</x:f>
        <x:v>8371602.361267379</x:v>
      </x:c>
      <x:c r="H5" s="26" t="n">
        <x:f>'Caja y runway'!H7</x:f>
        <x:v>8447400</x:v>
      </x:c>
      <x:c r="I5" s="26" t="n">
        <x:f>'Caja y runway'!I7</x:f>
        <x:v>8447400</x:v>
      </x:c>
      <x:c r="J5" s="26" t="n">
        <x:f>'Caja y runway'!J7</x:f>
        <x:v>8447400</x:v>
      </x:c>
      <x:c r="K5" s="26" t="n">
        <x:f>'Caja y runway'!K7</x:f>
        <x:v>8447400</x:v>
      </x:c>
      <x:c r="L5" s="26" t="n">
        <x:f>'Caja y runway'!L7</x:f>
        <x:v>8447400</x:v>
      </x:c>
      <x:c r="M5" s="26" t="n">
        <x:f>'Caja y runway'!M7</x:f>
        <x:v>8447400</x:v>
      </x:c>
    </x:row>
    <x:row r="6">
      <x:c r="A6" t="str">
        <x:v>Pagos comunes</x:v>
      </x:c>
      <x:c r="B6" s="26" t="n">
        <x:f>SUM('Caja y runway'!B8:'Caja y runway'!B11)</x:f>
        <x:v>6867924.007999999</x:v>
      </x:c>
      <x:c r="C6" s="26" t="n">
        <x:f>SUM('Caja y runway'!C8:'Caja y runway'!C11)</x:f>
        <x:v>6957320.2084</x:v>
      </x:c>
      <x:c r="D6" s="26" t="n">
        <x:f>SUM('Caja y runway'!D8:'Caja y runway'!D11)</x:f>
        <x:v>7051186.21882</x:v>
      </x:c>
      <x:c r="E6" s="26" t="n">
        <x:f>SUM('Caja y runway'!E8:'Caja y runway'!E11)</x:f>
        <x:v>7149745.529761</x:v>
      </x:c>
      <x:c r="F6" s="26" t="n">
        <x:f>SUM('Caja y runway'!F8:'Caja y runway'!F11)</x:f>
        <x:v>7253232.8062490495</x:v>
      </x:c>
      <x:c r="G6" s="26" t="n">
        <x:f>SUM('Caja y runway'!G8:'Caja y runway'!G11)</x:f>
        <x:v>7286500</x:v>
      </x:c>
      <x:c r="H6" s="26" t="n">
        <x:f>SUM('Caja y runway'!H8:'Caja y runway'!H11)</x:f>
        <x:v>7286500</x:v>
      </x:c>
      <x:c r="I6" s="26" t="n">
        <x:f>SUM('Caja y runway'!I8:'Caja y runway'!I11)</x:f>
        <x:v>7286500</x:v>
      </x:c>
      <x:c r="J6" s="26" t="n">
        <x:f>SUM('Caja y runway'!J8:'Caja y runway'!J11)</x:f>
        <x:v>7286500</x:v>
      </x:c>
      <x:c r="K6" s="26" t="n">
        <x:f>SUM('Caja y runway'!K8:'Caja y runway'!K11)</x:f>
        <x:v>7286500</x:v>
      </x:c>
      <x:c r="L6" s="26" t="n">
        <x:f>SUM('Caja y runway'!L8:'Caja y runway'!L11)</x:f>
        <x:v>7286500</x:v>
      </x:c>
      <x:c r="M6" s="26" t="n">
        <x:f>SUM('Caja y runway'!M8:'Caja y runway'!M11)</x:f>
        <x:v>7286500</x:v>
      </x:c>
    </x:row>
    <x:row r="7">
      <x:c r="A7" t="str">
        <x:v>Caja inicial registro limitado</x:v>
      </x:c>
      <x:c r="B7" s="26" t="n">
        <x:f>Supuestos!$B$4</x:f>
        <x:v>12000000</x:v>
      </x:c>
      <x:c r="C7" s="26" t="n">
        <x:f>B9</x:f>
        <x:v>7903297.432</x:v>
      </x:c>
      <x:c r="D7" s="26" t="n">
        <x:f>C9</x:f>
        <x:v>7929455.2524</x:v>
      </x:c>
      <x:c r="E7" s="26" t="n">
        <x:f>D9</x:f>
        <x:v>8210920.963819999</x:v>
      </x:c>
      <x:c r="F7" s="26" t="n">
        <x:f>E9</x:f>
        <x:v>8760459.960810998</x:v>
      </x:c>
      <x:c r="G7" s="26" t="n">
        <x:f>F9</x:f>
        <x:v>9591475.907651547</x:v>
      </x:c>
      <x:c r="H7" s="26" t="n">
        <x:f>G9</x:f>
        <x:v>10676578.268918926</x:v>
      </x:c>
      <x:c r="I7" s="26" t="n">
        <x:f>H9</x:f>
        <x:v>11837478.268918926</x:v>
      </x:c>
      <x:c r="J7" s="26" t="n">
        <x:f>I9</x:f>
        <x:v>12998378.268918926</x:v>
      </x:c>
      <x:c r="K7" s="26" t="n">
        <x:f>J9</x:f>
        <x:v>14159278.268918926</x:v>
      </x:c>
      <x:c r="L7" s="26" t="n">
        <x:f>K9</x:f>
        <x:v>15320178.268918926</x:v>
      </x:c>
      <x:c r="M7" s="26" t="n">
        <x:f>L9</x:f>
        <x:v>16481078.268918926</x:v>
      </x:c>
    </x:row>
    <x:row r="8">
      <x:c r="A8" t="str">
        <x:v>Flujo registro limitado</x:v>
      </x:c>
      <x:c r="B8" s="26" t="n">
        <x:f>B5-B6</x:f>
        <x:v>-4096702.5679999995</x:v>
      </x:c>
      <x:c r="C8" s="26" t="n">
        <x:f>C5-C6</x:f>
        <x:v>26157.82039999962</x:v>
      </x:c>
      <x:c r="D8" s="26" t="n">
        <x:f>D5-D6</x:f>
        <x:v>281465.7114199996</x:v>
      </x:c>
      <x:c r="E8" s="26" t="n">
        <x:f>E5-E6</x:f>
        <x:v>549538.9969909992</x:v>
      </x:c>
      <x:c r="F8" s="26" t="n">
        <x:f>F5-F6</x:f>
        <x:v>831015.9468405489</x:v>
      </x:c>
      <x:c r="G8" s="26" t="n">
        <x:f>G5-G6</x:f>
        <x:v>1085102.3612673786</x:v>
      </x:c>
      <x:c r="H8" s="26" t="n">
        <x:f>H5-H6</x:f>
        <x:v>1160900</x:v>
      </x:c>
      <x:c r="I8" s="26" t="n">
        <x:f>I5-I6</x:f>
        <x:v>1160900</x:v>
      </x:c>
      <x:c r="J8" s="26" t="n">
        <x:f>J5-J6</x:f>
        <x:v>1160900</x:v>
      </x:c>
      <x:c r="K8" s="26" t="n">
        <x:f>K5-K6</x:f>
        <x:v>1160900</x:v>
      </x:c>
      <x:c r="L8" s="26" t="n">
        <x:f>L5-L6</x:f>
        <x:v>1160900</x:v>
      </x:c>
      <x:c r="M8" s="26" t="n">
        <x:f>M5-M6</x:f>
        <x:v>1160900</x:v>
      </x:c>
    </x:row>
    <x:row r="9">
      <x:c r="A9" t="str">
        <x:v>Caja final registro limitado</x:v>
      </x:c>
      <x:c r="B9" s="26" t="n">
        <x:f>SUM(B7:B8)</x:f>
        <x:v>7903297.432</x:v>
      </x:c>
      <x:c r="C9" s="26" t="n">
        <x:f>SUM(C7:C8)</x:f>
        <x:v>7929455.2524</x:v>
      </x:c>
      <x:c r="D9" s="26" t="n">
        <x:f>SUM(D7:D8)</x:f>
        <x:v>8210920.963819999</x:v>
      </x:c>
      <x:c r="E9" s="26" t="n">
        <x:f>SUM(E7:E8)</x:f>
        <x:v>8760459.960810998</x:v>
      </x:c>
      <x:c r="F9" s="26" t="n">
        <x:f>SUM(F7:F8)</x:f>
        <x:v>9591475.907651547</x:v>
      </x:c>
      <x:c r="G9" s="26" t="n">
        <x:f>SUM(G7:G8)</x:f>
        <x:v>10676578.268918926</x:v>
      </x:c>
      <x:c r="H9" s="26" t="n">
        <x:f>SUM(H7:H8)</x:f>
        <x:v>11837478.268918926</x:v>
      </x:c>
      <x:c r="I9" s="26" t="n">
        <x:f>SUM(I7:I8)</x:f>
        <x:v>12998378.268918926</x:v>
      </x:c>
      <x:c r="J9" s="26" t="n">
        <x:f>SUM(J7:J8)</x:f>
        <x:v>14159278.268918926</x:v>
      </x:c>
      <x:c r="K9" s="26" t="n">
        <x:f>SUM(K7:K8)</x:f>
        <x:v>15320178.268918926</x:v>
      </x:c>
      <x:c r="L9" s="26" t="n">
        <x:f>SUM(L7:L8)</x:f>
        <x:v>16481078.268918926</x:v>
      </x:c>
      <x:c r="M9" s="26" t="n">
        <x:f>SUM(M7:M8)</x:f>
        <x:v>17641978.268918924</x:v>
      </x:c>
    </x:row>
    <x:row r="10">
      <x:c r="A10" t="str">
        <x:v>Caja inicial S.A.S. ilustrativa</x:v>
      </x:c>
      <x:c r="B10" s="26" t="n">
        <x:f>Supuestos!$B$4-Supuestos!$B$25</x:f>
        <x:v>10356910</x:v>
      </x:c>
      <x:c r="C10" s="26" t="n">
        <x:f>B12</x:f>
        <x:v>6205207.432</x:v>
      </x:c>
      <x:c r="D10" s="26" t="n">
        <x:f>C12</x:f>
        <x:v>6176365.2524</x:v>
      </x:c>
      <x:c r="E10" s="26" t="n">
        <x:f>D12</x:f>
        <x:v>6402830.963819999</x:v>
      </x:c>
      <x:c r="F10" s="26" t="n">
        <x:f>E12</x:f>
        <x:v>6897369.960810998</x:v>
      </x:c>
      <x:c r="G10" s="26" t="n">
        <x:f>F12</x:f>
        <x:v>7673385.907651547</x:v>
      </x:c>
      <x:c r="H10" s="26" t="n">
        <x:f>G12</x:f>
        <x:v>8703488.268918926</x:v>
      </x:c>
      <x:c r="I10" s="26" t="n">
        <x:f>H12</x:f>
        <x:v>9809388.268918926</x:v>
      </x:c>
      <x:c r="J10" s="26" t="n">
        <x:f>I12</x:f>
        <x:v>10915288.268918926</x:v>
      </x:c>
      <x:c r="K10" s="26" t="n">
        <x:f>J12</x:f>
        <x:v>12021188.268918926</x:v>
      </x:c>
      <x:c r="L10" s="26" t="n">
        <x:f>K12</x:f>
        <x:v>13127088.268918926</x:v>
      </x:c>
      <x:c r="M10" s="26" t="n">
        <x:f>L12</x:f>
        <x:v>14232988.268918926</x:v>
      </x:c>
    </x:row>
    <x:row r="11">
      <x:c r="A11" t="str">
        <x:v>Flujo S.A.S. ilustrativa</x:v>
      </x:c>
      <x:c r="B11" s="26" t="n">
        <x:f>B8-Supuestos!$B$26</x:f>
        <x:v>-4151702.5679999995</x:v>
      </x:c>
      <x:c r="C11" s="26" t="n">
        <x:f>C8-Supuestos!$B$26</x:f>
        <x:v>-28842.17960000038</x:v>
      </x:c>
      <x:c r="D11" s="26" t="n">
        <x:f>D8-Supuestos!$B$26</x:f>
        <x:v>226465.7114199996</x:v>
      </x:c>
      <x:c r="E11" s="26" t="n">
        <x:f>E8-Supuestos!$B$26</x:f>
        <x:v>494538.9969909992</x:v>
      </x:c>
      <x:c r="F11" s="26" t="n">
        <x:f>F8-Supuestos!$B$26</x:f>
        <x:v>776015.9468405489</x:v>
      </x:c>
      <x:c r="G11" s="26" t="n">
        <x:f>G8-Supuestos!$B$26</x:f>
        <x:v>1030102.3612673786</x:v>
      </x:c>
      <x:c r="H11" s="26" t="n">
        <x:f>H8-Supuestos!$B$26</x:f>
        <x:v>1105900</x:v>
      </x:c>
      <x:c r="I11" s="26" t="n">
        <x:f>I8-Supuestos!$B$26</x:f>
        <x:v>1105900</x:v>
      </x:c>
      <x:c r="J11" s="26" t="n">
        <x:f>J8-Supuestos!$B$26</x:f>
        <x:v>1105900</x:v>
      </x:c>
      <x:c r="K11" s="26" t="n">
        <x:f>K8-Supuestos!$B$26</x:f>
        <x:v>1105900</x:v>
      </x:c>
      <x:c r="L11" s="26" t="n">
        <x:f>L8-Supuestos!$B$26</x:f>
        <x:v>1105900</x:v>
      </x:c>
      <x:c r="M11" s="26" t="n">
        <x:f>M8-Supuestos!$B$26</x:f>
        <x:v>1105900</x:v>
      </x:c>
    </x:row>
    <x:row r="12">
      <x:c r="A12" t="str">
        <x:v>Caja final S.A.S. ilustrativa</x:v>
      </x:c>
      <x:c r="B12" s="26" t="n">
        <x:f>SUM(B10:B11)</x:f>
        <x:v>6205207.432</x:v>
      </x:c>
      <x:c r="C12" s="26" t="n">
        <x:f>SUM(C10:C11)</x:f>
        <x:v>6176365.2524</x:v>
      </x:c>
      <x:c r="D12" s="26" t="n">
        <x:f>SUM(D10:D11)</x:f>
        <x:v>6402830.963819999</x:v>
      </x:c>
      <x:c r="E12" s="26" t="n">
        <x:f>SUM(E10:E11)</x:f>
        <x:v>6897369.960810998</x:v>
      </x:c>
      <x:c r="F12" s="26" t="n">
        <x:f>SUM(F10:F11)</x:f>
        <x:v>7673385.907651547</x:v>
      </x:c>
      <x:c r="G12" s="26" t="n">
        <x:f>SUM(G10:G11)</x:f>
        <x:v>8703488.268918926</x:v>
      </x:c>
      <x:c r="H12" s="26" t="n">
        <x:f>SUM(H10:H11)</x:f>
        <x:v>9809388.268918926</x:v>
      </x:c>
      <x:c r="I12" s="26" t="n">
        <x:f>SUM(I10:I11)</x:f>
        <x:v>10915288.268918926</x:v>
      </x:c>
      <x:c r="J12" s="26" t="n">
        <x:f>SUM(J10:J11)</x:f>
        <x:v>12021188.268918926</x:v>
      </x:c>
      <x:c r="K12" s="26" t="n">
        <x:f>SUM(K10:K11)</x:f>
        <x:v>13127088.268918926</x:v>
      </x:c>
      <x:c r="L12" s="26" t="n">
        <x:f>SUM(L10:L11)</x:f>
        <x:v>14232988.268918926</x:v>
      </x:c>
      <x:c r="M12" s="26" t="n">
        <x:f>SUM(M10:M11)</x:f>
        <x:v>15338888.268918926</x:v>
      </x:c>
    </x:row>
    <x:row r="13">
      <x:c r="A13" t="str">
        <x:v>Reserva mínima</x:v>
      </x:c>
      <x:c r="B13" s="26" t="n">
        <x:f>Supuestos!$B$5</x:f>
        <x:v>2000000</x:v>
      </x:c>
      <x:c r="C13" s="26" t="n">
        <x:f>Supuestos!$B$5</x:f>
        <x:v>2000000</x:v>
      </x:c>
      <x:c r="D13" s="26" t="n">
        <x:f>Supuestos!$B$5</x:f>
        <x:v>2000000</x:v>
      </x:c>
      <x:c r="E13" s="26" t="n">
        <x:f>Supuestos!$B$5</x:f>
        <x:v>2000000</x:v>
      </x:c>
      <x:c r="F13" s="26" t="n">
        <x:f>Supuestos!$B$5</x:f>
        <x:v>2000000</x:v>
      </x:c>
      <x:c r="G13" s="26" t="n">
        <x:f>Supuestos!$B$5</x:f>
        <x:v>2000000</x:v>
      </x:c>
      <x:c r="H13" s="26" t="n">
        <x:f>Supuestos!$B$5</x:f>
        <x:v>2000000</x:v>
      </x:c>
      <x:c r="I13" s="26" t="n">
        <x:f>Supuestos!$B$5</x:f>
        <x:v>2000000</x:v>
      </x:c>
      <x:c r="J13" s="26" t="n">
        <x:f>Supuestos!$B$5</x:f>
        <x:v>2000000</x:v>
      </x:c>
      <x:c r="K13" s="26" t="n">
        <x:f>Supuestos!$B$5</x:f>
        <x:v>2000000</x:v>
      </x:c>
      <x:c r="L13" s="26" t="n">
        <x:f>Supuestos!$B$5</x:f>
        <x:v>2000000</x:v>
      </x:c>
      <x:c r="M13" s="26" t="n">
        <x:f>Supuestos!$B$5</x:f>
        <x:v>2000000</x:v>
      </x:c>
    </x:row>
    <x:row r="14">
      <x:c r="A14" t="str">
        <x:v>Brecha formal - limitado</x:v>
      </x:c>
      <x:c r="B14" s="26" t="n">
        <x:f>B12-B9</x:f>
        <x:v>-1698090</x:v>
      </x:c>
      <x:c r="C14" s="26" t="n">
        <x:f>C12-C9</x:f>
        <x:v>-1753090</x:v>
      </x:c>
      <x:c r="D14" s="26" t="n">
        <x:f>D12-D9</x:f>
        <x:v>-1808090</x:v>
      </x:c>
      <x:c r="E14" s="26" t="n">
        <x:f>E12-E9</x:f>
        <x:v>-1863090</x:v>
      </x:c>
      <x:c r="F14" s="26" t="n">
        <x:f>F12-F9</x:f>
        <x:v>-1918090</x:v>
      </x:c>
      <x:c r="G14" s="26" t="n">
        <x:f>G12-G9</x:f>
        <x:v>-1973090</x:v>
      </x:c>
      <x:c r="H14" s="26" t="n">
        <x:f>H12-H9</x:f>
        <x:v>-2028090</x:v>
      </x:c>
      <x:c r="I14" s="26" t="n">
        <x:f>I12-I9</x:f>
        <x:v>-2083090</x:v>
      </x:c>
      <x:c r="J14" s="26" t="n">
        <x:f>J12-J9</x:f>
        <x:v>-2138090</x:v>
      </x:c>
      <x:c r="K14" s="26" t="n">
        <x:f>K12-K9</x:f>
        <x:v>-2193090</x:v>
      </x:c>
      <x:c r="L14" s="26" t="n">
        <x:f>L12-L9</x:f>
        <x:v>-2248090</x:v>
      </x:c>
      <x:c r="M14" s="26" t="n">
        <x:f>M12-M9</x:f>
        <x:v>-2303089.999999998</x:v>
      </x:c>
    </x:row>
    <x:row r="16">
      <x:c r="A16" t="str">
        <x:v>Comparador ilustrativo: ambas estructuras incluyen aportes y reservas; no equipara registro limitado con una clasificación legal única.</x:v>
      </x:c>
    </x:row>
  </x:sheetData>
  <x:mergeCells>
    <x:mergeCell ref="A1:M1"/>
    <x:mergeCell ref="A16:M16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21" hidden="0" customWidth="1"/>
    <x:col min="3" max="3" width="62" hidden="0" customWidth="1"/>
  </x:cols>
  <x:sheetData>
    <x:row r="1" ht="34" customHeight="1">
      <x:c r="A1" s="3" t="str">
        <x:v>05 · RESULTADOS Y GRÁFICAS | Decisión antes de valorar</x:v>
      </x:c>
    </x:row>
    <x:row r="3" ht="26" customHeight="1">
      <x:c r="A3" s="12" t="str">
        <x:v>Indicador</x:v>
      </x:c>
      <x:c r="B3" s="12" t="str">
        <x:v>Resultado</x:v>
      </x:c>
      <x:c r="C3" s="12" t="str">
        <x:v>Cómo interpretarlo</x:v>
      </x:c>
      <x:c r="F3" s="12" t="str">
        <x:v>Mes</x:v>
      </x:c>
      <x:c r="G3" s="12" t="str">
        <x:v>Ventas</x:v>
      </x:c>
      <x:c r="H3" s="12" t="str">
        <x:v>Recaudos</x:v>
      </x:c>
      <x:c r="I3" s="12" t="str">
        <x:v>Caja formal</x:v>
      </x:c>
      <x:c r="J3" s="12" t="str">
        <x:v>Reserva</x:v>
      </x:c>
    </x:row>
    <x:row r="4">
      <x:c r="A4" t="str">
        <x:v>Ventas 12 meses</x:v>
      </x:c>
      <x:c r="B4" s="26" t="n">
        <x:f>SUM('Pipeline 12M'!B11:M11)</x:f>
        <x:v>98131869.47383499</x:v>
      </x:c>
      <x:c r="C4" t="str">
        <x:v>Servicios entregados × tarifa neta.</x:v>
      </x:c>
      <x:c r="F4" t="str">
        <x:f>'Pipeline 12M'!B3</x:f>
        <x:v>Mes 1</x:v>
      </x:c>
      <x:c r="G4" t="n">
        <x:f>'Pipeline 12M'!B11</x:f>
        <x:v>6928053.6</x:v>
      </x:c>
      <x:c r="H4" t="n">
        <x:f>'Caja y runway'!B7</x:f>
        <x:v>2771221.44</x:v>
      </x:c>
      <x:c r="I4" t="n">
        <x:f>'Formalización'!B12</x:f>
        <x:v>6205207.432</x:v>
      </x:c>
      <x:c r="J4" t="n">
        <x:f>Supuestos!$B$5</x:f>
        <x:v>2000000</x:v>
      </x:c>
    </x:row>
    <x:row r="5">
      <x:c r="A5" t="str">
        <x:v>Recaudos 12 meses</x:v>
      </x:c>
      <x:c r="B5" s="26" t="n">
        <x:f>SUM('Caja y runway'!B7:M7)</x:f>
        <x:v>91926887.04014897</x:v>
      </x:c>
      <x:c r="C5" t="str">
        <x:v>Entradas monetarias; pueden diferir de ventas.</x:v>
      </x:c>
      <x:c r="F5" t="str">
        <x:f>'Pipeline 12M'!C3</x:f>
        <x:v>Mes 2</x:v>
      </x:c>
      <x:c r="G5" t="n">
        <x:f>'Pipeline 12M'!C11</x:f>
        <x:v>7274456.279999999</x:v>
      </x:c>
      <x:c r="H5" t="n">
        <x:f>'Caja y runway'!C7</x:f>
        <x:v>6983478.0287999995</x:v>
      </x:c>
      <x:c r="I5" t="n">
        <x:f>'Formalización'!C12</x:f>
        <x:v>6176365.2524</x:v>
      </x:c>
      <x:c r="J5" t="n">
        <x:f>Supuestos!$B$5</x:f>
        <x:v>2000000</x:v>
      </x:c>
    </x:row>
    <x:row r="6">
      <x:c r="A6" t="str">
        <x:v>Caja final formal</x:v>
      </x:c>
      <x:c r="B6" s="26" t="n">
        <x:f>'Formalización'!M12</x:f>
        <x:v>15338888.268918926</x:v>
      </x:c>
      <x:c r="C6" t="str">
        <x:v>Luego de costos iniciales y recurrentes.</x:v>
      </x:c>
      <x:c r="F6" t="str">
        <x:f>'Pipeline 12M'!D3</x:f>
        <x:v>Mes 3</x:v>
      </x:c>
      <x:c r="G6" t="n">
        <x:f>'Pipeline 12M'!D11</x:f>
        <x:v>7638179.0940000005</x:v>
      </x:c>
      <x:c r="H6" t="n">
        <x:f>'Caja y runway'!D7</x:f>
        <x:v>7332651.93024</x:v>
      </x:c>
      <x:c r="I6" t="n">
        <x:f>'Formalización'!D12</x:f>
        <x:v>6402830.963819999</x:v>
      </x:c>
      <x:c r="J6" t="n">
        <x:f>Supuestos!$B$5</x:f>
        <x:v>2000000</x:v>
      </x:c>
    </x:row>
    <x:row r="7">
      <x:c r="A7" t="str">
        <x:v>Caja mínima formal</x:v>
      </x:c>
      <x:c r="B7" s="26" t="n">
        <x:f>MIN('Formalización'!B12:M12)</x:f>
        <x:v>6176365.2524</x:v>
      </x:c>
      <x:c r="C7" t="str">
        <x:v>Punto de mayor tensión.</x:v>
      </x:c>
      <x:c r="F7" t="str">
        <x:f>'Pipeline 12M'!E3</x:f>
        <x:v>Mes 4</x:v>
      </x:c>
      <x:c r="G7" t="n">
        <x:f>'Pipeline 12M'!E11</x:f>
        <x:v>8020088.048699999</x:v>
      </x:c>
      <x:c r="H7" t="n">
        <x:f>'Caja y runway'!E7</x:f>
        <x:v>7699284.526751999</x:v>
      </x:c>
      <x:c r="I7" t="n">
        <x:f>'Formalización'!E12</x:f>
        <x:v>6897369.960810998</x:v>
      </x:c>
      <x:c r="J7" t="n">
        <x:f>Supuestos!$B$5</x:f>
        <x:v>2000000</x:v>
      </x:c>
    </x:row>
    <x:row r="8">
      <x:c r="A8" t="str">
        <x:v>Primer mes bajo reserva</x:v>
      </x:c>
      <x:c r="B8" t="str">
        <x:f>IFERROR(MATCH(TRUE,INDEX('Formalización'!B12:M12&lt;Supuestos!$B$5,0),0),"Sin alerta en 12M")</x:f>
        <x:v>Sin alerta en 12M</x:v>
      </x:c>
      <x:c r="C8" t="str">
        <x:v>Primer mes que cruza la reserva, no necesariamente caja cero.</x:v>
      </x:c>
      <x:c r="F8" t="str">
        <x:f>'Pipeline 12M'!F3</x:f>
        <x:v>Mes 5</x:v>
      </x:c>
      <x:c r="G8" t="n">
        <x:f>'Pipeline 12M'!F11</x:f>
        <x:v>8421092.451134998</x:v>
      </x:c>
      <x:c r="H8" t="n">
        <x:f>'Caja y runway'!F7</x:f>
        <x:v>8084248.753089598</x:v>
      </x:c>
      <x:c r="I8" t="n">
        <x:f>'Formalización'!F12</x:f>
        <x:v>7673385.907651547</x:v>
      </x:c>
      <x:c r="J8" t="n">
        <x:f>Supuestos!$B$5</x:f>
        <x:v>2000000</x:v>
      </x:c>
    </x:row>
    <x:row r="9">
      <x:c r="A9" t="str">
        <x:v>Runway estático ilustrativo</x:v>
      </x:c>
      <x:c r="B9" t="n">
        <x:f>IF(AVERAGE('Caja y runway'!B14:D14)&lt;0,MAX(0,(Supuestos!$B$4-Supuestos!$B$25-Supuestos!$B$5)/-AVERAGE('Caja y runway'!B14:D14)),"No estimable")</x:f>
        <x:v>6.34047265383461</x:v>
      </x:c>
      <x:c r="C9" t="str">
        <x:v>Tasa inicial constante; no reemplaza el mes proyectado.</x:v>
      </x:c>
      <x:c r="F9" t="str">
        <x:f>'Pipeline 12M'!G3</x:f>
        <x:v>Mes 6</x:v>
      </x:c>
      <x:c r="G9" t="n">
        <x:f>'Pipeline 12M'!G11</x:f>
        <x:v>8550000</x:v>
      </x:c>
      <x:c r="H9" t="n">
        <x:f>'Caja y runway'!G7</x:f>
        <x:v>8371602.361267379</x:v>
      </x:c>
      <x:c r="I9" t="n">
        <x:f>'Formalización'!G12</x:f>
        <x:v>8703488.268918926</x:v>
      </x:c>
      <x:c r="J9" t="n">
        <x:f>Supuestos!$B$5</x:f>
        <x:v>2000000</x:v>
      </x:c>
    </x:row>
    <x:row r="10">
      <x:c r="A10" t="str">
        <x:v>Diferencia caja formal - limitada</x:v>
      </x:c>
      <x:c r="B10" t="n">
        <x:f>'Formalización'!M14</x:f>
        <x:v>-2303089.999999998</x:v>
      </x:c>
      <x:c r="C10" t="str">
        <x:v>Costo neto de formalización bajo mismas ventas.</x:v>
      </x:c>
      <x:c r="F10" t="str">
        <x:f>'Pipeline 12M'!H3</x:f>
        <x:v>Mes 7</x:v>
      </x:c>
      <x:c r="G10" t="n">
        <x:f>'Pipeline 12M'!H11</x:f>
        <x:v>8550000</x:v>
      </x:c>
      <x:c r="H10" t="n">
        <x:f>'Caja y runway'!H7</x:f>
        <x:v>8447400</x:v>
      </x:c>
      <x:c r="I10" t="n">
        <x:f>'Formalización'!H12</x:f>
        <x:v>9809388.268918926</x:v>
      </x:c>
      <x:c r="J10" t="n">
        <x:f>Supuestos!$B$5</x:f>
        <x:v>2000000</x:v>
      </x:c>
    </x:row>
    <x:row r="11">
      <x:c r="F11" t="str">
        <x:f>'Pipeline 12M'!I3</x:f>
        <x:v>Mes 8</x:v>
      </x:c>
      <x:c r="G11" t="n">
        <x:f>'Pipeline 12M'!I11</x:f>
        <x:v>8550000</x:v>
      </x:c>
      <x:c r="H11" t="n">
        <x:f>'Caja y runway'!I7</x:f>
        <x:v>8447400</x:v>
      </x:c>
      <x:c r="I11" t="n">
        <x:f>'Formalización'!I12</x:f>
        <x:v>10915288.268918926</x:v>
      </x:c>
      <x:c r="J11" t="n">
        <x:f>Supuestos!$B$5</x:f>
        <x:v>2000000</x:v>
      </x:c>
    </x:row>
    <x:row r="12">
      <x:c r="F12" t="str">
        <x:f>'Pipeline 12M'!J3</x:f>
        <x:v>Mes 9</x:v>
      </x:c>
      <x:c r="G12" t="n">
        <x:f>'Pipeline 12M'!J11</x:f>
        <x:v>8550000</x:v>
      </x:c>
      <x:c r="H12" t="n">
        <x:f>'Caja y runway'!J7</x:f>
        <x:v>8447400</x:v>
      </x:c>
      <x:c r="I12" t="n">
        <x:f>'Formalización'!J12</x:f>
        <x:v>12021188.268918926</x:v>
      </x:c>
      <x:c r="J12" t="n">
        <x:f>Supuestos!$B$5</x:f>
        <x:v>2000000</x:v>
      </x:c>
    </x:row>
    <x:row r="13">
      <x:c r="A13" t="str">
        <x:v>INTERPRETACIÓN: ¿Se cobró el ingreso o sigue en cartera? ¿El negocio supera su reserva? ¿Qué cambia al formalizar?</x:v>
      </x:c>
      <x:c r="F13" t="str">
        <x:f>'Pipeline 12M'!K3</x:f>
        <x:v>Mes 10</x:v>
      </x:c>
      <x:c r="G13" t="n">
        <x:f>'Pipeline 12M'!K11</x:f>
        <x:v>8550000</x:v>
      </x:c>
      <x:c r="H13" t="n">
        <x:f>'Caja y runway'!K7</x:f>
        <x:v>8447400</x:v>
      </x:c>
      <x:c r="I13" t="n">
        <x:f>'Formalización'!K12</x:f>
        <x:v>13127088.268918926</x:v>
      </x:c>
      <x:c r="J13" t="n">
        <x:f>Supuestos!$B$5</x:f>
        <x:v>2000000</x:v>
      </x:c>
    </x:row>
    <x:row r="14">
      <x:c r="F14" t="str">
        <x:f>'Pipeline 12M'!L3</x:f>
        <x:v>Mes 11</x:v>
      </x:c>
      <x:c r="G14" t="n">
        <x:f>'Pipeline 12M'!L11</x:f>
        <x:v>8550000</x:v>
      </x:c>
      <x:c r="H14" t="n">
        <x:f>'Caja y runway'!L7</x:f>
        <x:v>8447400</x:v>
      </x:c>
      <x:c r="I14" t="n">
        <x:f>'Formalización'!L12</x:f>
        <x:v>14232988.268918926</x:v>
      </x:c>
      <x:c r="J14" t="n">
        <x:f>Supuestos!$B$5</x:f>
        <x:v>2000000</x:v>
      </x:c>
    </x:row>
    <x:row r="15">
      <x:c r="F15" t="str">
        <x:f>'Pipeline 12M'!M3</x:f>
        <x:v>Mes 12</x:v>
      </x:c>
      <x:c r="G15" t="n">
        <x:f>'Pipeline 12M'!M11</x:f>
        <x:v>8550000</x:v>
      </x:c>
      <x:c r="H15" t="n">
        <x:f>'Caja y runway'!M7</x:f>
        <x:v>8447400</x:v>
      </x:c>
      <x:c r="I15" t="n">
        <x:f>'Formalización'!M12</x:f>
        <x:v>15338888.268918926</x:v>
      </x:c>
      <x:c r="J15" t="n">
        <x:f>Supuestos!$B$5</x:f>
        <x:v>2000000</x:v>
      </x:c>
    </x:row>
  </x:sheetData>
  <x:mergeCells>
    <x:mergeCell ref="A1:M1"/>
    <x:mergeCell ref="A13:C13"/>
  </x:mergeCells>
  <x:pageMargins left="0.7" right="0.7" top="0.75" bottom="0.75" header="0.3" footer="0.3"/>
  <x:drawing xmlns:r="http://schemas.openxmlformats.org/officeDocument/2006/relationships" r:id="R8ac2605802114882"/>
</x:worksheet>
</file>

<file path=xl/worksheets/sheet7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65" hidden="0" customWidth="1"/>
    <x:col min="3" max="3" width="57" hidden="0" customWidth="1"/>
    <x:col min="4" max="4" width="68" hidden="0" customWidth="1"/>
  </x:cols>
  <x:sheetData>
    <x:row r="1" ht="26" customHeight="1">
      <x:c r="A1" s="12" t="str">
        <x:v>Concepto</x:v>
      </x:c>
      <x:c r="B1" s="12" t="str">
        <x:v>Explicación</x:v>
      </x:c>
      <x:c r="C1" s="12" t="str">
        <x:v>Ejemplo numérico</x:v>
      </x:c>
      <x:c r="D1" s="12" t="str">
        <x:v>Fuente / observación</x:v>
      </x:c>
    </x:row>
    <x:row r="2">
      <x:c r="A2" s="6" t="str">
        <x:v>Pipeline</x:v>
      </x:c>
      <x:c r="B2" s="6" t="str">
        <x:v>Camino desde el contacto hasta el contrato.</x:v>
      </x:c>
      <x:c r="C2" s="6" t="str">
        <x:v>26 leads × 58 % × 62 % × 26 % = 2,43 contratos esperados.</x:v>
      </x:c>
      <x:c r="D2" s="6" t="str">
        <x:v>Hipótesis didáctica.</x:v>
      </x:c>
    </x:row>
    <x:row r="3">
      <x:c r="A3" s="6" t="str">
        <x:v>Venta / facturación</x:v>
      </x:c>
      <x:c r="B3" s="6" t="str">
        <x:v>Proyecto entregado y facturado, no es necesariamente recaudo.</x:v>
      </x:c>
      <x:c r="C3" s="6" t="str">
        <x:v>2 proyectos × $3 M = $6 M de ventas.</x:v>
      </x:c>
      <x:c r="D3" s="6" t="str">
        <x:v>Modelo operacional simplificado.</x:v>
      </x:c>
    </x:row>
    <x:row r="4">
      <x:c r="A4" s="6" t="str">
        <x:v>Anticipo</x:v>
      </x:c>
      <x:c r="B4" s="6" t="str">
        <x:v>Proporción del valor cobrada en el mismo mes.</x:v>
      </x:c>
      <x:c r="C4" s="6" t="str">
        <x:v>40 % × $6 M = $2,4 M cobrados hoy.</x:v>
      </x:c>
      <x:c r="D4" s="6" t="str">
        <x:v>El anticipo puede requerir tratamiento contable propio.</x:v>
      </x:c>
    </x:row>
    <x:row r="5">
      <x:c r="A5" s="6" t="str">
        <x:v>Saldo y cartera</x:v>
      </x:c>
      <x:c r="B5" s="6" t="str">
        <x:v>Facturas pendientes de pago, después del anticipo.</x:v>
      </x:c>
      <x:c r="C5" s="6" t="str">
        <x:v>$6 M − $2,4 M = $3,6 M pendientes.</x:v>
      </x:c>
      <x:c r="D5" s="6" t="str">
        <x:v>No todos los saldos se cobran.</x:v>
      </x:c>
    </x:row>
    <x:row r="6">
      <x:c r="A6" s="6" t="str">
        <x:v>Flujo de caja</x:v>
      </x:c>
      <x:c r="B6" s="6" t="str">
        <x:v>Recaudo efectivo menos pagos y reservas.</x:v>
      </x:c>
      <x:c r="C6" s="6" t="str">
        <x:v>$2,4 M cobrados − $4 M pagados = −$1,6 M.</x:v>
      </x:c>
      <x:c r="D6" s="6" t="str">
        <x:v>No equivale a utilidad.</x:v>
      </x:c>
    </x:row>
    <x:row r="7">
      <x:c r="A7" s="6" t="str">
        <x:v>Caja final</x:v>
      </x:c>
      <x:c r="B7" s="6" t="str">
        <x:v>Efectivo restante al final del periodo.</x:v>
      </x:c>
      <x:c r="C7" s="6" t="str">
        <x:v>$10 M iniciales − $1,6 M flujo = $8,4 M.</x:v>
      </x:c>
      <x:c r="D7" s="6" t="str">
        <x:v>Debe conciliar cada mes.</x:v>
      </x:c>
    </x:row>
    <x:row r="8">
      <x:c r="A8" s="6" t="str">
        <x:v>Burn</x:v>
      </x:c>
      <x:c r="B8" s="6" t="str">
        <x:v>Consumo neto de caja en meses deficitarios.</x:v>
      </x:c>
      <x:c r="C8" s="6" t="str">
        <x:v>Si el flujo = −$2 M, burn de ese mes = $2 M.</x:v>
      </x:c>
      <x:c r="D8" s="6" t="str">
        <x:v>El promedio de burn no es una predicción.</x:v>
      </x:c>
    </x:row>
    <x:row r="9">
      <x:c r="A9" s="6" t="str">
        <x:v>Runway</x:v>
      </x:c>
      <x:c r="B9" s="6" t="str">
        <x:v>Tiempo antes de cruzar la reserva de liquidez.</x:v>
      </x:c>
      <x:c r="C9" s="6" t="str">
        <x:v>($10 M − $2 M reserva) / $2 M burn = 4 meses (estático).</x:v>
      </x:c>
      <x:c r="D9" s="6" t="str">
        <x:v>Usar también primera alerta en trayectoria mensual.</x:v>
      </x:c>
    </x:row>
    <x:row r="10">
      <x:c r="A10" s="6" t="str">
        <x:v>Bootstrapping</x:v>
      </x:c>
      <x:c r="B10" s="6" t="str">
        <x:v>Crecimiento con clientes, recursos propios y reinversión.</x:v>
      </x:c>
      <x:c r="C10" s="6" t="str">
        <x:v>Clientes → cobros → excedente → reinversión.</x:v>
      </x:c>
      <x:c r="D10" s="6" t="str">
        <x:v>Es estrategia financiera, no ausencia de costo.</x:v>
      </x:c>
    </x:row>
    <x:row r="11">
      <x:c r="A11" s="6" t="str">
        <x:v>Formalización</x:v>
      </x:c>
      <x:c r="B11" s="6" t="str">
        <x:v>Modelo de estructura y costos explícitos.</x:v>
      </x:c>
      <x:c r="C11" s="6" t="str">
        <x:v>Caja inicial formal = capital − costos iniciales.</x:v>
      </x:c>
      <x:c r="D11" s="6" t="str">
        <x:v>Valores editables; no liquidación oficial.</x:v>
      </x:c>
    </x:row>
    <x:row r="12">
      <x:c r="A12" s="6" t="str">
        <x:v>Escenario proyectado</x:v>
      </x:c>
      <x:c r="B12" s="6" t="str">
        <x:v>Extrapolación de supuestos actuales.</x:v>
      </x:c>
      <x:c r="C12" s="6" t="str">
        <x:v>Leads iniciales crecen 5 % mensual.</x:v>
      </x:c>
      <x:c r="D12" s="6" t="str">
        <x:v>No equivale a probabilidad.</x:v>
      </x:c>
    </x:row>
    <x:row r="13">
      <x:c r="A13" s="6" t="str">
        <x:v>Escenario preferible</x:v>
      </x:c>
      <x:c r="B13" s="6" t="str">
        <x:v>Futuro que el emprendedor desea construir.</x:v>
      </x:c>
      <x:c r="C13" s="6" t="str">
        <x:v>Más anticipos y mejores condiciones de cobro.</x:v>
      </x:c>
      <x:c r="D13" s="6" t="str">
        <x:v>Debe sustentarse con presupuesto.</x:v>
      </x:c>
    </x:row>
    <x:row r="14">
      <x:c r="A14" s="6"/>
      <x:c r="B14" s="6"/>
      <x:c r="C14" s="6"/>
      <x:c r="D14" s="6"/>
    </x:row>
    <x:row r="15">
      <x:c r="A15" s="6"/>
      <x:c r="B15" s="6"/>
      <x:c r="C15" s="6"/>
      <x:c r="D15" s="6"/>
    </x:row>
    <x:row r="16">
      <x:c r="A16" s="6" t="str">
        <x:v>Referencia de clase</x:v>
      </x:c>
      <x:c r="B16" s="6" t="str">
        <x:v>Zuluaga, W. (s. f.). Empresa consultoría [Plantilla de proyecciones financieras]. https://cutt.ly/empresa_consultoria</x:v>
      </x:c>
      <x:c r="C16" s="6"/>
      <x:c r="D16" s="6"/>
    </x:row>
    <x:row r="17">
      <x:c r="A17" s="6" t="str">
        <x:v>IA y mercado freelance</x:v>
      </x:c>
      <x:c r="B17" s="6" t="str">
        <x:v>Hui, X., &amp; Reshef, O. (2025). Is generative AI a job killer? Evidence from the freelance market. Brookings Institution. https://www.brookings.edu/articles/is-generative-ai-a-job-killer-evidence-from-the-freelance-market/</x:v>
      </x:c>
      <x:c r="C17" s="6"/>
      <x:c r="D17" s="6"/>
    </x:row>
    <x:row r="18">
      <x:c r="A18" s="6" t="str">
        <x:v>Costos constitución</x:v>
      </x:c>
      <x:c r="B18" s="6" t="str">
        <x:v>Buk. (s. f.). Costos para crear una empresa en Colombia: guía completa. https://www.buk.co/blog/costos-para-crear-una-empresa-en-colombia-gu%C3%ADa-completa</x:v>
      </x:c>
      <x:c r="C18" s="6"/>
      <x:c r="D18" s="6"/>
    </x:row>
    <x:row r="19">
      <x:c r="A19" s="6" t="str">
        <x:v>Referencia salarial</x:v>
      </x:c>
      <x:c r="B19" s="6" t="str">
        <x:v>Salario Mínimo Colombia. (2026). Salario mínimo Colombia. https://www.salariominimocolombia.net/</x:v>
      </x:c>
      <x:c r="C19" s="6"/>
      <x:c r="D19" s="6"/>
    </x:row>
    <x:row r="20">
      <x:c r="A20" s="6" t="str">
        <x:v>Advertencia</x:v>
      </x:c>
      <x:c r="B20" s="6" t="str">
        <x:v>Valores pedagógicos; la estructura legal, aportes e impuestos se verifican para cada caso.</x:v>
      </x:c>
      <x:c r="C20" s="6"/>
      <x:c r="D20" s="6"/>
    </x:row>
  </x:sheetData>
  <x:pageMargins left="0.7" right="0.7" top="0.75" bottom="0.75" header="0.3" footer="0.3"/>
</x:worksheet>
</file>